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rod pays 2012"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740" i="1"/>
  <c r="B1740"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A1202" i="1"/>
  <c r="B1202" i="1"/>
  <c r="A1203" i="1"/>
  <c r="B1203" i="1"/>
  <c r="A1204" i="1"/>
  <c r="B1204" i="1"/>
  <c r="A1205" i="1"/>
  <c r="A1206" i="1"/>
  <c r="B1206" i="1"/>
  <c r="A1207" i="1"/>
  <c r="B1207" i="1"/>
  <c r="A1208" i="1"/>
  <c r="B1208" i="1"/>
  <c r="A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A1483" i="1"/>
  <c r="B1483" i="1"/>
  <c r="A1484" i="1"/>
  <c r="B1484" i="1"/>
  <c r="A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A1522" i="1"/>
  <c r="B1522" i="1"/>
  <c r="A1523" i="1"/>
  <c r="B1523" i="1"/>
  <c r="A1524" i="1"/>
  <c r="B1524" i="1"/>
  <c r="A1525" i="1"/>
  <c r="B1525" i="1"/>
  <c r="A1526" i="1"/>
  <c r="B1526" i="1"/>
  <c r="A1527" i="1"/>
  <c r="B1527" i="1"/>
  <c r="A1528" i="1"/>
  <c r="A1529" i="1"/>
  <c r="B1529" i="1"/>
  <c r="A1530" i="1"/>
  <c r="B1530" i="1"/>
  <c r="A1531" i="1"/>
  <c r="A1532" i="1"/>
  <c r="B1532" i="1"/>
  <c r="A1533" i="1"/>
  <c r="B1533" i="1"/>
  <c r="A1534" i="1"/>
  <c r="A1535" i="1"/>
  <c r="B1535" i="1"/>
  <c r="A1536" i="1"/>
  <c r="B1536" i="1"/>
  <c r="A1537" i="1"/>
  <c r="B1537" i="1"/>
  <c r="A1538" i="1"/>
  <c r="B1538" i="1"/>
  <c r="A1539" i="1"/>
  <c r="B1539" i="1"/>
  <c r="A1540" i="1"/>
  <c r="A1541" i="1"/>
  <c r="B1541" i="1"/>
  <c r="A1542" i="1"/>
  <c r="B1542" i="1"/>
  <c r="A1543" i="1"/>
  <c r="B1543" i="1"/>
  <c r="A1544" i="1"/>
  <c r="B1544" i="1"/>
  <c r="A1545" i="1"/>
  <c r="A1546" i="1"/>
  <c r="B1546" i="1"/>
  <c r="A1547" i="1"/>
  <c r="B1547" i="1"/>
  <c r="A1548" i="1"/>
  <c r="B1548" i="1"/>
  <c r="A1549" i="1"/>
  <c r="B1549" i="1"/>
  <c r="A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alcChain>
</file>

<file path=xl/sharedStrings.xml><?xml version="1.0" encoding="utf-8"?>
<sst xmlns="http://schemas.openxmlformats.org/spreadsheetml/2006/main" count="31" uniqueCount="31">
  <si>
    <t>Produced:</t>
  </si>
  <si>
    <t>Mois(C):</t>
  </si>
  <si>
    <t>Annee(C):</t>
  </si>
  <si>
    <t>BUREAU(C):</t>
  </si>
  <si>
    <t>SYSCOM(C):</t>
  </si>
  <si>
    <t>FLUX(C):</t>
  </si>
  <si>
    <t>PROVDEST(C):</t>
  </si>
  <si>
    <t>PRODUIT(B):</t>
  </si>
  <si>
    <t>Y Axis (1)</t>
  </si>
  <si>
    <t>PARTENAIRE(B):</t>
  </si>
  <si>
    <t>Y Axis (2)</t>
  </si>
  <si>
    <t>INDICATORS(B):</t>
  </si>
  <si>
    <t>X Axis (1)</t>
  </si>
  <si>
    <t>=t("Farines, semoules et poudres des produits du chapitre 8 "Fruits comestibles, écorces d'agrumes ou de melons"")</t>
  </si>
  <si>
    <t>=t("BOIS DE CONIFÈRES, Y.C. LES LAMES ET FRISES POUR PARQUETS, NON-ASSEMBLÉES, PROFILÉS "LANGUETÉS, RAINÉS, BOUVETÉS, FEUILLURÉS, CHANFREINÉS, JOINTS EN V, MOULURÉS, ARRONDIS OU SIMIL." TOUT AU LONG D'UNE OU DE PLUSIEURS RIVES, FACES OU BOUTS, MÊME RABOTÉ</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</si>
  <si>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</si>
  <si>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</si>
  <si>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</si>
  <si>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=t("Groupes électrogènes à moteur à piston à allumage par compression "moteurs diesel ou semi-diesel", puissance &lt;= 75 kVA")</t>
  </si>
  <si>
    <t>=t("VÉHICULES POUR LE TRANSPORT DE &gt;= 10 PERSONNES, CHAUFFEUR INCLUS, À MOTEUR À PISTON À ALLUMAGE PAR COMPRESSION "MOTEUR DIESEL OU SEMI-DIESEL"")</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</si>
  <si>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</si>
  <si>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</si>
  <si>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</si>
  <si>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</si>
  <si>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</si>
  <si>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</si>
  <si>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</si>
  <si>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</si>
  <si>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</si>
  <si>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Source: Copyright © 1958 - 2003 European Community, Eurostat. All Rights Reserved. Comext: k0000035.txt  Extracted: 07/10/2014</t>
  </si>
  <si>
    <t>Table generation of Extraction from Plan "k0000033,mtx"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</si>
</sst>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2"/>
  <sheetViews>
    <sheetView tabSelected="1" topLeftCell="A10" workbookViewId="0">
      <selection activeCell="D10" activeCellId="1" sqref="C1:C1048576 D1:D1048576"/>
    </sheetView>
  </sheetViews>
  <sheetFormatPr baseColWidth="10" defaultRowHeight="15" x14ac:dyDescent="0.25"/>
  <sheetData>
    <row r="1" spans="1:4" x14ac:dyDescent="0.25">
      <c r="C1" t="s">
        <v>30</v>
      </c>
    </row>
    <row r="3" spans="1:4" x14ac:dyDescent="0.25">
      <c r="A3" t="s">
        <v>0</v>
      </c>
      <c r="B3" t="str">
        <f>T("07/10/2014")</f>
        <v>07/10/2014</v>
      </c>
    </row>
    <row r="4" spans="1:4" x14ac:dyDescent="0.25">
      <c r="A4" t="s">
        <v>1</v>
      </c>
      <c r="B4" t="str">
        <f>T("00")</f>
        <v>00</v>
      </c>
    </row>
    <row r="5" spans="1:4" x14ac:dyDescent="0.25">
      <c r="A5" t="s">
        <v>2</v>
      </c>
      <c r="B5" t="str">
        <f>T("2012")</f>
        <v>2012</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T("010620")</f>
        <v>010620</v>
      </c>
      <c r="B16" t="str">
        <f>T("Reptiles [p.ex. serpents, tortues, alligators, caïmans, iguanes, gavials et lézards], vivants")</f>
        <v>Reptiles [p.ex. serpents, tortues, alligators, caïmans, iguanes, gavials et lézards], vivants</v>
      </c>
    </row>
    <row r="17" spans="1:4" x14ac:dyDescent="0.25">
      <c r="A17" t="str">
        <f>T("   ZZZ_Monde")</f>
        <v xml:space="preserve">   ZZZ_Monde</v>
      </c>
      <c r="B17" t="str">
        <f>T("   ZZZ_Monde")</f>
        <v xml:space="preserve">   ZZZ_Monde</v>
      </c>
      <c r="C17">
        <v>2114454</v>
      </c>
      <c r="D17">
        <v>450</v>
      </c>
    </row>
    <row r="18" spans="1:4" x14ac:dyDescent="0.25">
      <c r="A18" t="str">
        <f>T("   AE")</f>
        <v xml:space="preserve">   AE</v>
      </c>
      <c r="B18" t="str">
        <f>T("   Emirats Arabes Unis")</f>
        <v xml:space="preserve">   Emirats Arabes Unis</v>
      </c>
      <c r="C18">
        <v>1057227</v>
      </c>
      <c r="D18">
        <v>250</v>
      </c>
    </row>
    <row r="19" spans="1:4" x14ac:dyDescent="0.25">
      <c r="A19" t="str">
        <f>T("   CU")</f>
        <v xml:space="preserve">   CU</v>
      </c>
      <c r="B19" t="str">
        <f>T("   Cuba")</f>
        <v xml:space="preserve">   Cuba</v>
      </c>
      <c r="C19">
        <v>1057227</v>
      </c>
      <c r="D19">
        <v>200</v>
      </c>
    </row>
    <row r="20" spans="1:4" x14ac:dyDescent="0.25">
      <c r="A20" t="str">
        <f>T("020727")</f>
        <v>020727</v>
      </c>
      <c r="B20" t="str">
        <f>T("Morceaux et abats comestibles de dindes et dindons [des espèces domestiques], congelés")</f>
        <v>Morceaux et abats comestibles de dindes et dindons [des espèces domestiques], congelés</v>
      </c>
    </row>
    <row r="21" spans="1:4" x14ac:dyDescent="0.25">
      <c r="A21" t="str">
        <f>T("   ZZZ_Monde")</f>
        <v xml:space="preserve">   ZZZ_Monde</v>
      </c>
      <c r="B21" t="str">
        <f>T("   ZZZ_Monde")</f>
        <v xml:space="preserve">   ZZZ_Monde</v>
      </c>
      <c r="C21">
        <v>15550188</v>
      </c>
      <c r="D21">
        <v>25000</v>
      </c>
    </row>
    <row r="22" spans="1:4" x14ac:dyDescent="0.25">
      <c r="A22" t="str">
        <f>T("   PL")</f>
        <v xml:space="preserve">   PL</v>
      </c>
      <c r="B22" t="str">
        <f>T("   Pologne")</f>
        <v xml:space="preserve">   Pologne</v>
      </c>
      <c r="C22">
        <v>15550188</v>
      </c>
      <c r="D22">
        <v>25000</v>
      </c>
    </row>
    <row r="23" spans="1:4" x14ac:dyDescent="0.25">
      <c r="A23" t="str">
        <f>T("030379")</f>
        <v>030379</v>
      </c>
      <c r="B23"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4" spans="1:4" x14ac:dyDescent="0.25">
      <c r="A24" t="str">
        <f>T("   ZZZ_Monde")</f>
        <v xml:space="preserve">   ZZZ_Monde</v>
      </c>
      <c r="B24" t="str">
        <f>T("   ZZZ_Monde")</f>
        <v xml:space="preserve">   ZZZ_Monde</v>
      </c>
      <c r="C24">
        <v>132675000</v>
      </c>
      <c r="D24">
        <v>449100</v>
      </c>
    </row>
    <row r="25" spans="1:4" x14ac:dyDescent="0.25">
      <c r="A25" t="str">
        <f>T("   GH")</f>
        <v xml:space="preserve">   GH</v>
      </c>
      <c r="B25" t="str">
        <f>T("   Ghana")</f>
        <v xml:space="preserve">   Ghana</v>
      </c>
      <c r="C25">
        <v>63000000</v>
      </c>
      <c r="D25">
        <v>211000</v>
      </c>
    </row>
    <row r="26" spans="1:4" x14ac:dyDescent="0.25">
      <c r="A26" t="str">
        <f>T("   LR")</f>
        <v xml:space="preserve">   LR</v>
      </c>
      <c r="B26" t="str">
        <f>T("   Libéria")</f>
        <v xml:space="preserve">   Libéria</v>
      </c>
      <c r="C26">
        <v>6075000</v>
      </c>
      <c r="D26">
        <v>27000</v>
      </c>
    </row>
    <row r="27" spans="1:4" x14ac:dyDescent="0.25">
      <c r="A27" t="str">
        <f>T("   TG")</f>
        <v xml:space="preserve">   TG</v>
      </c>
      <c r="B27" t="str">
        <f>T("   Togo")</f>
        <v xml:space="preserve">   Togo</v>
      </c>
      <c r="C27">
        <v>63600000</v>
      </c>
      <c r="D27">
        <v>211100</v>
      </c>
    </row>
    <row r="28" spans="1:4" x14ac:dyDescent="0.25">
      <c r="A28" t="str">
        <f>T("030613")</f>
        <v>030613</v>
      </c>
      <c r="B28" t="str">
        <f>T("CREVETTES, MÊME DÉCORTIQUÉES, CONGELÉES, Y.C. LES CREVETTES NON-DÉCORTIQUÉES PRÉALABLEMENT CUITES À L'EAU OU À LA VAPEUR")</f>
        <v>CREVETTES, MÊME DÉCORTIQUÉES, CONGELÉES, Y.C. LES CREVETTES NON-DÉCORTIQUÉES PRÉALABLEMENT CUITES À L'EAU OU À LA VAPEUR</v>
      </c>
    </row>
    <row r="29" spans="1:4" x14ac:dyDescent="0.25">
      <c r="A29" t="str">
        <f>T("   ZZZ_Monde")</f>
        <v xml:space="preserve">   ZZZ_Monde</v>
      </c>
      <c r="B29" t="str">
        <f>T("   ZZZ_Monde")</f>
        <v xml:space="preserve">   ZZZ_Monde</v>
      </c>
      <c r="C29">
        <v>13193700</v>
      </c>
      <c r="D29">
        <v>26382</v>
      </c>
    </row>
    <row r="30" spans="1:4" x14ac:dyDescent="0.25">
      <c r="A30" t="str">
        <f>T("   CN")</f>
        <v xml:space="preserve">   CN</v>
      </c>
      <c r="B30" t="str">
        <f>T("   Chine")</f>
        <v xml:space="preserve">   Chine</v>
      </c>
      <c r="C30">
        <v>13193700</v>
      </c>
      <c r="D30">
        <v>26382</v>
      </c>
    </row>
    <row r="31" spans="1:4" x14ac:dyDescent="0.25">
      <c r="A31" t="str">
        <f>T("040510")</f>
        <v>040510</v>
      </c>
      <c r="B31" t="str">
        <f>T("Beurre (sauf beurre déshydraté et ghee)")</f>
        <v>Beurre (sauf beurre déshydraté et ghee)</v>
      </c>
    </row>
    <row r="32" spans="1:4" x14ac:dyDescent="0.25">
      <c r="A32" t="str">
        <f>T("   ZZZ_Monde")</f>
        <v xml:space="preserve">   ZZZ_Monde</v>
      </c>
      <c r="B32" t="str">
        <f>T("   ZZZ_Monde")</f>
        <v xml:space="preserve">   ZZZ_Monde</v>
      </c>
      <c r="C32">
        <v>599928184</v>
      </c>
      <c r="D32">
        <v>1072260</v>
      </c>
    </row>
    <row r="33" spans="1:4" x14ac:dyDescent="0.25">
      <c r="A33" t="str">
        <f>T("   MY")</f>
        <v xml:space="preserve">   MY</v>
      </c>
      <c r="B33" t="str">
        <f>T("   Malaisie")</f>
        <v xml:space="preserve">   Malaisie</v>
      </c>
      <c r="C33">
        <v>452119791</v>
      </c>
      <c r="D33">
        <v>808080</v>
      </c>
    </row>
    <row r="34" spans="1:4" x14ac:dyDescent="0.25">
      <c r="A34" t="str">
        <f>T("   NL")</f>
        <v xml:space="preserve">   NL</v>
      </c>
      <c r="B34" t="str">
        <f>T("   Pays-bas")</f>
        <v xml:space="preserve">   Pays-bas</v>
      </c>
      <c r="C34">
        <v>147808393</v>
      </c>
      <c r="D34">
        <v>264180</v>
      </c>
    </row>
    <row r="35" spans="1:4" x14ac:dyDescent="0.25">
      <c r="A35" t="str">
        <f>T("040900")</f>
        <v>040900</v>
      </c>
      <c r="B35" t="str">
        <f>T("Miel naturel")</f>
        <v>Miel naturel</v>
      </c>
    </row>
    <row r="36" spans="1:4" x14ac:dyDescent="0.25">
      <c r="A36" t="str">
        <f>T("   ZZZ_Monde")</f>
        <v xml:space="preserve">   ZZZ_Monde</v>
      </c>
      <c r="B36" t="str">
        <f>T("   ZZZ_Monde")</f>
        <v xml:space="preserve">   ZZZ_Monde</v>
      </c>
      <c r="C36">
        <v>639358</v>
      </c>
      <c r="D36">
        <v>600030</v>
      </c>
    </row>
    <row r="37" spans="1:4" x14ac:dyDescent="0.25">
      <c r="A37" t="str">
        <f>T("   FR")</f>
        <v xml:space="preserve">   FR</v>
      </c>
      <c r="B37" t="str">
        <f>T("   France")</f>
        <v xml:space="preserve">   France</v>
      </c>
      <c r="C37">
        <v>39358</v>
      </c>
      <c r="D37">
        <v>30</v>
      </c>
    </row>
    <row r="38" spans="1:4" x14ac:dyDescent="0.25">
      <c r="A38" t="str">
        <f>T("   LY")</f>
        <v xml:space="preserve">   LY</v>
      </c>
      <c r="B38" t="str">
        <f>T("   Libyenne, Jamahiriya Arabe")</f>
        <v xml:space="preserve">   Libyenne, Jamahiriya Arabe</v>
      </c>
      <c r="C38">
        <v>600000</v>
      </c>
      <c r="D38">
        <v>600000</v>
      </c>
    </row>
    <row r="39" spans="1:4" x14ac:dyDescent="0.25">
      <c r="A39" t="str">
        <f>T("050900")</f>
        <v>050900</v>
      </c>
      <c r="B39" t="str">
        <f>T("ÉPONGES NATURELLES D'ORIGINE ANIMALE")</f>
        <v>ÉPONGES NATURELLES D'ORIGINE ANIMALE</v>
      </c>
    </row>
    <row r="40" spans="1:4" x14ac:dyDescent="0.25">
      <c r="A40" t="str">
        <f>T("   ZZZ_Monde")</f>
        <v xml:space="preserve">   ZZZ_Monde</v>
      </c>
      <c r="B40" t="str">
        <f>T("   ZZZ_Monde")</f>
        <v xml:space="preserve">   ZZZ_Monde</v>
      </c>
      <c r="C40">
        <v>557700</v>
      </c>
      <c r="D40">
        <v>40</v>
      </c>
    </row>
    <row r="41" spans="1:4" x14ac:dyDescent="0.25">
      <c r="A41" t="str">
        <f>T("   FR")</f>
        <v xml:space="preserve">   FR</v>
      </c>
      <c r="B41" t="str">
        <f>T("   France")</f>
        <v xml:space="preserve">   France</v>
      </c>
      <c r="C41">
        <v>557700</v>
      </c>
      <c r="D41">
        <v>40</v>
      </c>
    </row>
    <row r="42" spans="1:4" x14ac:dyDescent="0.25">
      <c r="A42" t="str">
        <f>T("060290")</f>
        <v>060290</v>
      </c>
      <c r="B42" t="str">
        <f>T("PLANTES VIVANTES, Y.C. LEURS RACINES, ET BLANC DE CHAMPIGNONS (À L'EXCL. DES BULBES, OIGNONS, TUBERCULES, RACINES TUBÉREUSES, GRIFFES ET RHIZOMES - Y.C. LES PLANTS, PLANTES ET RACINES DE CHICORÉE -, DES BOUTURES NON-RACINÉES, DES GREFFONS, DES ARBRES, ARB")</f>
        <v>PLANTES VIVANTES, Y.C. LEURS RACINES, ET BLANC DE CHAMPIGNONS (À L'EXCL. DES BULBES, OIGNONS, TUBERCULES, RACINES TUBÉREUSES, GRIFFES ET RHIZOMES - Y.C. LES PLANTS, PLANTES ET RACINES DE CHICORÉE -, DES BOUTURES NON-RACINÉES, DES GREFFONS, DES ARBRES, ARB</v>
      </c>
    </row>
    <row r="43" spans="1:4" x14ac:dyDescent="0.25">
      <c r="A43" t="str">
        <f>T("   ZZZ_Monde")</f>
        <v xml:space="preserve">   ZZZ_Monde</v>
      </c>
      <c r="B43" t="str">
        <f>T("   ZZZ_Monde")</f>
        <v xml:space="preserve">   ZZZ_Monde</v>
      </c>
      <c r="C43">
        <v>2215000</v>
      </c>
      <c r="D43">
        <v>8500</v>
      </c>
    </row>
    <row r="44" spans="1:4" x14ac:dyDescent="0.25">
      <c r="A44" t="str">
        <f>T("   SN")</f>
        <v xml:space="preserve">   SN</v>
      </c>
      <c r="B44" t="str">
        <f>T("   Sénégal")</f>
        <v xml:space="preserve">   Sénégal</v>
      </c>
      <c r="C44">
        <v>2215000</v>
      </c>
      <c r="D44">
        <v>8500</v>
      </c>
    </row>
    <row r="45" spans="1:4" x14ac:dyDescent="0.25">
      <c r="A45" t="str">
        <f>T("060390")</f>
        <v>060390</v>
      </c>
      <c r="B45" t="str">
        <f>T("Fleurs et boutons de fleurs, coupés, pour bouquets ou pour ornements, séchés, blanchis, teints, imprégnés ou autrement préparés")</f>
        <v>Fleurs et boutons de fleurs, coupés, pour bouquets ou pour ornements, séchés, blanchis, teints, imprégnés ou autrement préparés</v>
      </c>
    </row>
    <row r="46" spans="1:4" x14ac:dyDescent="0.25">
      <c r="A46" t="str">
        <f>T("   ZZZ_Monde")</f>
        <v xml:space="preserve">   ZZZ_Monde</v>
      </c>
      <c r="B46" t="str">
        <f>T("   ZZZ_Monde")</f>
        <v xml:space="preserve">   ZZZ_Monde</v>
      </c>
      <c r="C46">
        <v>161500</v>
      </c>
      <c r="D46">
        <v>311</v>
      </c>
    </row>
    <row r="47" spans="1:4" x14ac:dyDescent="0.25">
      <c r="A47" t="str">
        <f>T("   CH")</f>
        <v xml:space="preserve">   CH</v>
      </c>
      <c r="B47" t="str">
        <f>T("   Suisse")</f>
        <v xml:space="preserve">   Suisse</v>
      </c>
      <c r="C47">
        <v>161500</v>
      </c>
      <c r="D47">
        <v>311</v>
      </c>
    </row>
    <row r="48" spans="1:4" x14ac:dyDescent="0.25">
      <c r="A48" t="str">
        <f>T("060499")</f>
        <v>060499</v>
      </c>
      <c r="B48"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49" spans="1:4" x14ac:dyDescent="0.25">
      <c r="A49" t="str">
        <f>T("   ZZZ_Monde")</f>
        <v xml:space="preserve">   ZZZ_Monde</v>
      </c>
      <c r="B49" t="str">
        <f>T("   ZZZ_Monde")</f>
        <v xml:space="preserve">   ZZZ_Monde</v>
      </c>
      <c r="C49">
        <v>1615000</v>
      </c>
      <c r="D49">
        <v>40000</v>
      </c>
    </row>
    <row r="50" spans="1:4" x14ac:dyDescent="0.25">
      <c r="A50" t="str">
        <f>T("   CG")</f>
        <v xml:space="preserve">   CG</v>
      </c>
      <c r="B50" t="str">
        <f>T("   Congo (Brazzaville)")</f>
        <v xml:space="preserve">   Congo (Brazzaville)</v>
      </c>
      <c r="C50">
        <v>615000</v>
      </c>
      <c r="D50">
        <v>10000</v>
      </c>
    </row>
    <row r="51" spans="1:4" x14ac:dyDescent="0.25">
      <c r="A51" t="str">
        <f>T("   CN")</f>
        <v xml:space="preserve">   CN</v>
      </c>
      <c r="B51" t="str">
        <f>T("   Chine")</f>
        <v xml:space="preserve">   Chine</v>
      </c>
      <c r="C51">
        <v>1000000</v>
      </c>
      <c r="D51">
        <v>30000</v>
      </c>
    </row>
    <row r="52" spans="1:4" x14ac:dyDescent="0.25">
      <c r="A52" t="str">
        <f>T("071390")</f>
        <v>071390</v>
      </c>
      <c r="B52" t="str">
        <f>T("Légumes à cosse secs, écossés, même décortiqués ou cassés (à l'excl. des pois, des pois chiches, des haricots, des lentilles, des fèves et des féveroles)")</f>
        <v>Légumes à cosse secs, écossés, même décortiqués ou cassés (à l'excl. des pois, des pois chiches, des haricots, des lentilles, des fèves et des féveroles)</v>
      </c>
    </row>
    <row r="53" spans="1:4" x14ac:dyDescent="0.25">
      <c r="A53" t="str">
        <f>T("   ZZZ_Monde")</f>
        <v xml:space="preserve">   ZZZ_Monde</v>
      </c>
      <c r="B53" t="str">
        <f>T("   ZZZ_Monde")</f>
        <v xml:space="preserve">   ZZZ_Monde</v>
      </c>
      <c r="C53">
        <v>44720</v>
      </c>
      <c r="D53">
        <v>188</v>
      </c>
    </row>
    <row r="54" spans="1:4" x14ac:dyDescent="0.25">
      <c r="A54" t="str">
        <f>T("   FR")</f>
        <v xml:space="preserve">   FR</v>
      </c>
      <c r="B54" t="str">
        <f>T("   France")</f>
        <v xml:space="preserve">   France</v>
      </c>
      <c r="C54">
        <v>44720</v>
      </c>
      <c r="D54">
        <v>188</v>
      </c>
    </row>
    <row r="55" spans="1:4" x14ac:dyDescent="0.25">
      <c r="A55" t="str">
        <f>T("071410")</f>
        <v>071410</v>
      </c>
      <c r="B55" t="str">
        <f>T("Racines de manioc, fraîches, réfrigérées, congelées ou séchées, même débitées en morceaux ou agglomérées sous forme de pellets")</f>
        <v>Racines de manioc, fraîches, réfrigérées, congelées ou séchées, même débitées en morceaux ou agglomérées sous forme de pellets</v>
      </c>
    </row>
    <row r="56" spans="1:4" x14ac:dyDescent="0.25">
      <c r="A56" t="str">
        <f>T("   ZZZ_Monde")</f>
        <v xml:space="preserve">   ZZZ_Monde</v>
      </c>
      <c r="B56" t="str">
        <f>T("   ZZZ_Monde")</f>
        <v xml:space="preserve">   ZZZ_Monde</v>
      </c>
      <c r="C56">
        <v>4350000</v>
      </c>
      <c r="D56">
        <v>24000</v>
      </c>
    </row>
    <row r="57" spans="1:4" x14ac:dyDescent="0.25">
      <c r="A57" t="str">
        <f>T("   CG")</f>
        <v xml:space="preserve">   CG</v>
      </c>
      <c r="B57" t="str">
        <f>T("   Congo (Brazzaville)")</f>
        <v xml:space="preserve">   Congo (Brazzaville)</v>
      </c>
      <c r="C57">
        <v>1350000</v>
      </c>
      <c r="D57">
        <v>9000</v>
      </c>
    </row>
    <row r="58" spans="1:4" x14ac:dyDescent="0.25">
      <c r="A58" t="str">
        <f>T("   GA")</f>
        <v xml:space="preserve">   GA</v>
      </c>
      <c r="B58" t="str">
        <f>T("   Gabon")</f>
        <v xml:space="preserve">   Gabon</v>
      </c>
      <c r="C58">
        <v>3000000</v>
      </c>
      <c r="D58">
        <v>15000</v>
      </c>
    </row>
    <row r="59" spans="1:4" x14ac:dyDescent="0.25">
      <c r="A59" t="str">
        <f>T("071490")</f>
        <v>071490</v>
      </c>
      <c r="B59" t="str">
        <f>T("Racines d'arrow-root ou de salep, topinambours et racines et tubercules simil. à haute teneur en fécule ou en inuline, frais, réfrigérés, congelés ou séchés, même débités en morceaux ou agglomérés sous forme de pellets et moelle de sagoutier (à l'excl. de")</f>
        <v>Racines d'arrow-root ou de salep, topinambours et racines et tubercules simil. à haute teneur en fécule ou en inuline, frais, réfrigérés, congelés ou séchés, même débités en morceaux ou agglomérés sous forme de pellets et moelle de sagoutier (à l'excl. de</v>
      </c>
    </row>
    <row r="60" spans="1:4" x14ac:dyDescent="0.25">
      <c r="A60" t="str">
        <f>T("   ZZZ_Monde")</f>
        <v xml:space="preserve">   ZZZ_Monde</v>
      </c>
      <c r="B60" t="str">
        <f>T("   ZZZ_Monde")</f>
        <v xml:space="preserve">   ZZZ_Monde</v>
      </c>
      <c r="C60">
        <v>16365000</v>
      </c>
      <c r="D60">
        <v>200100</v>
      </c>
    </row>
    <row r="61" spans="1:4" x14ac:dyDescent="0.25">
      <c r="A61" t="str">
        <f>T("   GA")</f>
        <v xml:space="preserve">   GA</v>
      </c>
      <c r="B61" t="str">
        <f>T("   Gabon")</f>
        <v xml:space="preserve">   Gabon</v>
      </c>
      <c r="C61">
        <v>15300000</v>
      </c>
      <c r="D61">
        <v>166000</v>
      </c>
    </row>
    <row r="62" spans="1:4" x14ac:dyDescent="0.25">
      <c r="A62" t="str">
        <f>T("   GB")</f>
        <v xml:space="preserve">   GB</v>
      </c>
      <c r="B62" t="str">
        <f>T("   Royaume-Uni")</f>
        <v xml:space="preserve">   Royaume-Uni</v>
      </c>
      <c r="C62">
        <v>450000</v>
      </c>
      <c r="D62">
        <v>10000</v>
      </c>
    </row>
    <row r="63" spans="1:4" x14ac:dyDescent="0.25">
      <c r="A63" t="str">
        <f>T("   GE")</f>
        <v xml:space="preserve">   GE</v>
      </c>
      <c r="B63" t="str">
        <f>T("   Géorgie")</f>
        <v xml:space="preserve">   Géorgie</v>
      </c>
      <c r="C63">
        <v>615000</v>
      </c>
      <c r="D63">
        <v>24100</v>
      </c>
    </row>
    <row r="64" spans="1:4" x14ac:dyDescent="0.25">
      <c r="A64" t="str">
        <f>T("080119")</f>
        <v>080119</v>
      </c>
      <c r="B64" t="str">
        <f>T("Noix de coco, fraîches, même sans leur coques ou décortiquées")</f>
        <v>Noix de coco, fraîches, même sans leur coques ou décortiquées</v>
      </c>
    </row>
    <row r="65" spans="1:4" x14ac:dyDescent="0.25">
      <c r="A65" t="str">
        <f>T("   ZZZ_Monde")</f>
        <v xml:space="preserve">   ZZZ_Monde</v>
      </c>
      <c r="B65" t="str">
        <f>T("   ZZZ_Monde")</f>
        <v xml:space="preserve">   ZZZ_Monde</v>
      </c>
      <c r="C65">
        <v>24418000</v>
      </c>
      <c r="D65">
        <v>171360</v>
      </c>
    </row>
    <row r="66" spans="1:4" x14ac:dyDescent="0.25">
      <c r="A66" t="str">
        <f>T("   IN")</f>
        <v xml:space="preserve">   IN</v>
      </c>
      <c r="B66" t="str">
        <f>T("   Inde")</f>
        <v xml:space="preserve">   Inde</v>
      </c>
      <c r="C66">
        <v>11418000</v>
      </c>
      <c r="D66">
        <v>57090</v>
      </c>
    </row>
    <row r="67" spans="1:4" x14ac:dyDescent="0.25">
      <c r="A67" t="str">
        <f>T("   SY")</f>
        <v xml:space="preserve">   SY</v>
      </c>
      <c r="B67" t="str">
        <f>T("   Syrienne, République arabe")</f>
        <v xml:space="preserve">   Syrienne, République arabe</v>
      </c>
      <c r="C67">
        <v>13000000</v>
      </c>
      <c r="D67">
        <v>114270</v>
      </c>
    </row>
    <row r="68" spans="1:4" x14ac:dyDescent="0.25">
      <c r="A68" t="str">
        <f>T("080121")</f>
        <v>080121</v>
      </c>
      <c r="B68" t="str">
        <f>T("Noix du Brésil, fraîches ou sèches, en coques")</f>
        <v>Noix du Brésil, fraîches ou sèches, en coques</v>
      </c>
    </row>
    <row r="69" spans="1:4" x14ac:dyDescent="0.25">
      <c r="A69" t="str">
        <f>T("   ZZZ_Monde")</f>
        <v xml:space="preserve">   ZZZ_Monde</v>
      </c>
      <c r="B69" t="str">
        <f>T("   ZZZ_Monde")</f>
        <v xml:space="preserve">   ZZZ_Monde</v>
      </c>
      <c r="C69">
        <v>53290843</v>
      </c>
      <c r="D69">
        <v>134449</v>
      </c>
    </row>
    <row r="70" spans="1:4" x14ac:dyDescent="0.25">
      <c r="A70" t="str">
        <f>T("   IN")</f>
        <v xml:space="preserve">   IN</v>
      </c>
      <c r="B70" t="str">
        <f>T("   Inde")</f>
        <v xml:space="preserve">   Inde</v>
      </c>
      <c r="C70">
        <v>13449800</v>
      </c>
      <c r="D70">
        <v>67249</v>
      </c>
    </row>
    <row r="71" spans="1:4" x14ac:dyDescent="0.25">
      <c r="A71" t="str">
        <f>T("   NL")</f>
        <v xml:space="preserve">   NL</v>
      </c>
      <c r="B71" t="str">
        <f>T("   Pays-bas")</f>
        <v xml:space="preserve">   Pays-bas</v>
      </c>
      <c r="C71">
        <v>39841043</v>
      </c>
      <c r="D71">
        <v>67200</v>
      </c>
    </row>
    <row r="72" spans="1:4" x14ac:dyDescent="0.25">
      <c r="A72" t="str">
        <f>T("080131")</f>
        <v>080131</v>
      </c>
      <c r="B72" t="str">
        <f>T("Noix de cajou, fraîches ou sèches, en coques")</f>
        <v>Noix de cajou, fraîches ou sèches, en coques</v>
      </c>
    </row>
    <row r="73" spans="1:4" x14ac:dyDescent="0.25">
      <c r="A73" t="str">
        <f>T("   ZZZ_Monde")</f>
        <v xml:space="preserve">   ZZZ_Monde</v>
      </c>
      <c r="B73" t="str">
        <f>T("   ZZZ_Monde")</f>
        <v xml:space="preserve">   ZZZ_Monde</v>
      </c>
      <c r="C73">
        <v>25110420502</v>
      </c>
      <c r="D73">
        <v>93942327.439999998</v>
      </c>
    </row>
    <row r="74" spans="1:4" x14ac:dyDescent="0.25">
      <c r="A74" t="str">
        <f>T("   AE")</f>
        <v xml:space="preserve">   AE</v>
      </c>
      <c r="B74" t="str">
        <f>T("   Emirats Arabes Unis")</f>
        <v xml:space="preserve">   Emirats Arabes Unis</v>
      </c>
      <c r="C74">
        <v>378600000</v>
      </c>
      <c r="D74">
        <v>1893000</v>
      </c>
    </row>
    <row r="75" spans="1:4" x14ac:dyDescent="0.25">
      <c r="A75" t="str">
        <f>T("   BR")</f>
        <v xml:space="preserve">   BR</v>
      </c>
      <c r="B75" t="str">
        <f>T("   Brésil")</f>
        <v xml:space="preserve">   Brésil</v>
      </c>
      <c r="C75">
        <v>627660000</v>
      </c>
      <c r="D75">
        <v>3487000</v>
      </c>
    </row>
    <row r="76" spans="1:4" x14ac:dyDescent="0.25">
      <c r="A76" t="str">
        <f>T("   CN")</f>
        <v xml:space="preserve">   CN</v>
      </c>
      <c r="B76" t="str">
        <f>T("   Chine")</f>
        <v xml:space="preserve">   Chine</v>
      </c>
      <c r="C76">
        <v>180260800</v>
      </c>
      <c r="D76">
        <v>901304</v>
      </c>
    </row>
    <row r="77" spans="1:4" x14ac:dyDescent="0.25">
      <c r="A77" t="str">
        <f>T("   GH")</f>
        <v xml:space="preserve">   GH</v>
      </c>
      <c r="B77" t="str">
        <f>T("   Ghana")</f>
        <v xml:space="preserve">   Ghana</v>
      </c>
      <c r="C77">
        <v>21000000</v>
      </c>
      <c r="D77">
        <v>280000</v>
      </c>
    </row>
    <row r="78" spans="1:4" x14ac:dyDescent="0.25">
      <c r="A78" t="str">
        <f>T("   HK")</f>
        <v xml:space="preserve">   HK</v>
      </c>
      <c r="B78" t="str">
        <f>T("   Hong-Kong")</f>
        <v xml:space="preserve">   Hong-Kong</v>
      </c>
      <c r="C78">
        <v>852744050</v>
      </c>
      <c r="D78">
        <v>2053900</v>
      </c>
    </row>
    <row r="79" spans="1:4" x14ac:dyDescent="0.25">
      <c r="A79" t="str">
        <f>T("   IN")</f>
        <v xml:space="preserve">   IN</v>
      </c>
      <c r="B79" t="str">
        <f>T("   Inde")</f>
        <v xml:space="preserve">   Inde</v>
      </c>
      <c r="C79">
        <v>19831568868</v>
      </c>
      <c r="D79">
        <v>74571649.439999998</v>
      </c>
    </row>
    <row r="80" spans="1:4" x14ac:dyDescent="0.25">
      <c r="A80" t="str">
        <f>T("   MA")</f>
        <v xml:space="preserve">   MA</v>
      </c>
      <c r="B80" t="str">
        <f>T("   Maroc")</f>
        <v xml:space="preserve">   Maroc</v>
      </c>
      <c r="C80">
        <v>41933600</v>
      </c>
      <c r="D80">
        <v>206816</v>
      </c>
    </row>
    <row r="81" spans="1:4" x14ac:dyDescent="0.25">
      <c r="A81" t="str">
        <f>T("   NL")</f>
        <v xml:space="preserve">   NL</v>
      </c>
      <c r="B81" t="str">
        <f>T("   Pays-bas")</f>
        <v xml:space="preserve">   Pays-bas</v>
      </c>
      <c r="C81">
        <v>622284056</v>
      </c>
      <c r="D81">
        <v>1520070</v>
      </c>
    </row>
    <row r="82" spans="1:4" x14ac:dyDescent="0.25">
      <c r="A82" t="str">
        <f>T("   SG")</f>
        <v xml:space="preserve">   SG</v>
      </c>
      <c r="B82" t="str">
        <f>T("   Singapour")</f>
        <v xml:space="preserve">   Singapour</v>
      </c>
      <c r="C82">
        <v>904787327</v>
      </c>
      <c r="D82">
        <v>2665800</v>
      </c>
    </row>
    <row r="83" spans="1:4" x14ac:dyDescent="0.25">
      <c r="A83" t="str">
        <f>T("   TG")</f>
        <v xml:space="preserve">   TG</v>
      </c>
      <c r="B83" t="str">
        <f>T("   Togo")</f>
        <v xml:space="preserve">   Togo</v>
      </c>
      <c r="C83">
        <v>39000000</v>
      </c>
      <c r="D83">
        <v>624000</v>
      </c>
    </row>
    <row r="84" spans="1:4" x14ac:dyDescent="0.25">
      <c r="A84" t="str">
        <f>T("   VN")</f>
        <v xml:space="preserve">   VN</v>
      </c>
      <c r="B84" t="str">
        <f>T("   Vietnam")</f>
        <v xml:space="preserve">   Vietnam</v>
      </c>
      <c r="C84">
        <v>1610581801</v>
      </c>
      <c r="D84">
        <v>5738788</v>
      </c>
    </row>
    <row r="85" spans="1:4" x14ac:dyDescent="0.25">
      <c r="A85" t="str">
        <f>T("080132")</f>
        <v>080132</v>
      </c>
      <c r="B85" t="str">
        <f>T("Noix de cajou, fraîches ou sèches, sans coques")</f>
        <v>Noix de cajou, fraîches ou sèches, sans coques</v>
      </c>
    </row>
    <row r="86" spans="1:4" x14ac:dyDescent="0.25">
      <c r="A86" t="str">
        <f>T("   ZZZ_Monde")</f>
        <v xml:space="preserve">   ZZZ_Monde</v>
      </c>
      <c r="B86" t="str">
        <f>T("   ZZZ_Monde")</f>
        <v xml:space="preserve">   ZZZ_Monde</v>
      </c>
      <c r="C86">
        <v>575100208</v>
      </c>
      <c r="D86">
        <v>1029453</v>
      </c>
    </row>
    <row r="87" spans="1:4" x14ac:dyDescent="0.25">
      <c r="A87" t="str">
        <f>T("   CN")</f>
        <v xml:space="preserve">   CN</v>
      </c>
      <c r="B87" t="str">
        <f>T("   Chine")</f>
        <v xml:space="preserve">   Chine</v>
      </c>
      <c r="C87">
        <v>235468156</v>
      </c>
      <c r="D87">
        <v>570900</v>
      </c>
    </row>
    <row r="88" spans="1:4" x14ac:dyDescent="0.25">
      <c r="A88" t="str">
        <f>T("   IN")</f>
        <v xml:space="preserve">   IN</v>
      </c>
      <c r="B88" t="str">
        <f>T("   Inde")</f>
        <v xml:space="preserve">   Inde</v>
      </c>
      <c r="C88">
        <v>64190000</v>
      </c>
      <c r="D88">
        <v>362800</v>
      </c>
    </row>
    <row r="89" spans="1:4" x14ac:dyDescent="0.25">
      <c r="A89" t="str">
        <f>T("   NL")</f>
        <v xml:space="preserve">   NL</v>
      </c>
      <c r="B89" t="str">
        <f>T("   Pays-bas")</f>
        <v xml:space="preserve">   Pays-bas</v>
      </c>
      <c r="C89">
        <v>275442052</v>
      </c>
      <c r="D89">
        <v>95753</v>
      </c>
    </row>
    <row r="90" spans="1:4" x14ac:dyDescent="0.25">
      <c r="A90" t="str">
        <f>T("080211")</f>
        <v>080211</v>
      </c>
      <c r="B90" t="str">
        <f>T("Amandes, fraîches ou sèches, en coques")</f>
        <v>Amandes, fraîches ou sèches, en coques</v>
      </c>
    </row>
    <row r="91" spans="1:4" x14ac:dyDescent="0.25">
      <c r="A91" t="str">
        <f>T("   ZZZ_Monde")</f>
        <v xml:space="preserve">   ZZZ_Monde</v>
      </c>
      <c r="B91" t="str">
        <f>T("   ZZZ_Monde")</f>
        <v xml:space="preserve">   ZZZ_Monde</v>
      </c>
      <c r="C91">
        <v>4342206256</v>
      </c>
      <c r="D91">
        <v>18199748</v>
      </c>
    </row>
    <row r="92" spans="1:4" x14ac:dyDescent="0.25">
      <c r="A92" t="str">
        <f>T("   DK")</f>
        <v xml:space="preserve">   DK</v>
      </c>
      <c r="B92" t="str">
        <f>T("   Danemark")</f>
        <v xml:space="preserve">   Danemark</v>
      </c>
      <c r="C92">
        <v>3534420713</v>
      </c>
      <c r="D92">
        <v>17922000</v>
      </c>
    </row>
    <row r="93" spans="1:4" x14ac:dyDescent="0.25">
      <c r="A93" t="str">
        <f>T("   GB")</f>
        <v xml:space="preserve">   GB</v>
      </c>
      <c r="B93" t="str">
        <f>T("   Royaume-Uni")</f>
        <v xml:space="preserve">   Royaume-Uni</v>
      </c>
      <c r="C93">
        <v>42920775</v>
      </c>
      <c r="D93">
        <v>16556</v>
      </c>
    </row>
    <row r="94" spans="1:4" x14ac:dyDescent="0.25">
      <c r="A94" t="str">
        <f>T("   IN")</f>
        <v xml:space="preserve">   IN</v>
      </c>
      <c r="B94" t="str">
        <f>T("   Inde")</f>
        <v xml:space="preserve">   Inde</v>
      </c>
      <c r="C94">
        <v>35280396</v>
      </c>
      <c r="D94">
        <v>14130</v>
      </c>
    </row>
    <row r="95" spans="1:4" x14ac:dyDescent="0.25">
      <c r="A95" t="str">
        <f>T("   SG")</f>
        <v xml:space="preserve">   SG</v>
      </c>
      <c r="B95" t="str">
        <f>T("   Singapour")</f>
        <v xml:space="preserve">   Singapour</v>
      </c>
      <c r="C95">
        <v>35280396</v>
      </c>
      <c r="D95">
        <v>14130</v>
      </c>
    </row>
    <row r="96" spans="1:4" x14ac:dyDescent="0.25">
      <c r="A96" t="str">
        <f>T("   US")</f>
        <v xml:space="preserve">   US</v>
      </c>
      <c r="B96" t="str">
        <f>T("   Etats-Unis")</f>
        <v xml:space="preserve">   Etats-Unis</v>
      </c>
      <c r="C96">
        <v>694303976</v>
      </c>
      <c r="D96">
        <v>232932</v>
      </c>
    </row>
    <row r="97" spans="1:4" x14ac:dyDescent="0.25">
      <c r="A97" t="str">
        <f>T("080290")</f>
        <v>080290</v>
      </c>
      <c r="B97"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98" spans="1:4" x14ac:dyDescent="0.25">
      <c r="A98" t="str">
        <f>T("   ZZZ_Monde")</f>
        <v xml:space="preserve">   ZZZ_Monde</v>
      </c>
      <c r="B98" t="str">
        <f>T("   ZZZ_Monde")</f>
        <v xml:space="preserve">   ZZZ_Monde</v>
      </c>
      <c r="C98">
        <v>44708000</v>
      </c>
      <c r="D98">
        <v>265200</v>
      </c>
    </row>
    <row r="99" spans="1:4" x14ac:dyDescent="0.25">
      <c r="A99" t="str">
        <f>T("   CN")</f>
        <v xml:space="preserve">   CN</v>
      </c>
      <c r="B99" t="str">
        <f>T("   Chine")</f>
        <v xml:space="preserve">   Chine</v>
      </c>
      <c r="C99">
        <v>5700000</v>
      </c>
      <c r="D99">
        <v>38000</v>
      </c>
    </row>
    <row r="100" spans="1:4" x14ac:dyDescent="0.25">
      <c r="A100" t="str">
        <f>T("   IN")</f>
        <v xml:space="preserve">   IN</v>
      </c>
      <c r="B100" t="str">
        <f>T("   Inde")</f>
        <v xml:space="preserve">   Inde</v>
      </c>
      <c r="C100">
        <v>39008000</v>
      </c>
      <c r="D100">
        <v>227200</v>
      </c>
    </row>
    <row r="101" spans="1:4" x14ac:dyDescent="0.25">
      <c r="A101" t="str">
        <f>T("080430")</f>
        <v>080430</v>
      </c>
      <c r="B101" t="str">
        <f>T("Ananas, frais ou secs")</f>
        <v>Ananas, frais ou secs</v>
      </c>
    </row>
    <row r="102" spans="1:4" x14ac:dyDescent="0.25">
      <c r="A102" t="str">
        <f>T("   ZZZ_Monde")</f>
        <v xml:space="preserve">   ZZZ_Monde</v>
      </c>
      <c r="B102" t="str">
        <f>T("   ZZZ_Monde")</f>
        <v xml:space="preserve">   ZZZ_Monde</v>
      </c>
      <c r="C102">
        <v>3061363</v>
      </c>
      <c r="D102">
        <v>1430</v>
      </c>
    </row>
    <row r="103" spans="1:4" x14ac:dyDescent="0.25">
      <c r="A103" t="str">
        <f>T("   BE")</f>
        <v xml:space="preserve">   BE</v>
      </c>
      <c r="B103" t="str">
        <f>T("   Belgique")</f>
        <v xml:space="preserve">   Belgique</v>
      </c>
      <c r="C103">
        <v>2571363</v>
      </c>
      <c r="D103">
        <v>450</v>
      </c>
    </row>
    <row r="104" spans="1:4" x14ac:dyDescent="0.25">
      <c r="A104" t="str">
        <f>T("   FR")</f>
        <v xml:space="preserve">   FR</v>
      </c>
      <c r="B104" t="str">
        <f>T("   France")</f>
        <v xml:space="preserve">   France</v>
      </c>
      <c r="C104">
        <v>490000</v>
      </c>
      <c r="D104">
        <v>980</v>
      </c>
    </row>
    <row r="105" spans="1:4" x14ac:dyDescent="0.25">
      <c r="A105" t="str">
        <f>T("080450")</f>
        <v>080450</v>
      </c>
      <c r="B105" t="str">
        <f>T("Goyaves, mangues et mangoustans, frais ou secs")</f>
        <v>Goyaves, mangues et mangoustans, frais ou secs</v>
      </c>
    </row>
    <row r="106" spans="1:4" x14ac:dyDescent="0.25">
      <c r="A106" t="str">
        <f>T("   ZZZ_Monde")</f>
        <v xml:space="preserve">   ZZZ_Monde</v>
      </c>
      <c r="B106" t="str">
        <f>T("   ZZZ_Monde")</f>
        <v xml:space="preserve">   ZZZ_Monde</v>
      </c>
      <c r="C106">
        <v>3611456</v>
      </c>
      <c r="D106">
        <v>34600</v>
      </c>
    </row>
    <row r="107" spans="1:4" x14ac:dyDescent="0.25">
      <c r="A107" t="str">
        <f>T("   ES")</f>
        <v xml:space="preserve">   ES</v>
      </c>
      <c r="B107" t="str">
        <f>T("   Espagne")</f>
        <v xml:space="preserve">   Espagne</v>
      </c>
      <c r="C107">
        <v>3611456</v>
      </c>
      <c r="D107">
        <v>34600</v>
      </c>
    </row>
    <row r="108" spans="1:4" x14ac:dyDescent="0.25">
      <c r="A108" t="str">
        <f>T("080719")</f>
        <v>080719</v>
      </c>
      <c r="B108" t="str">
        <f>T("Melons, frais (à l'excl. des pastèques)")</f>
        <v>Melons, frais (à l'excl. des pastèques)</v>
      </c>
    </row>
    <row r="109" spans="1:4" x14ac:dyDescent="0.25">
      <c r="A109" t="str">
        <f>T("   ZZZ_Monde")</f>
        <v xml:space="preserve">   ZZZ_Monde</v>
      </c>
      <c r="B109" t="str">
        <f>T("   ZZZ_Monde")</f>
        <v xml:space="preserve">   ZZZ_Monde</v>
      </c>
      <c r="C109">
        <v>2500000</v>
      </c>
      <c r="D109">
        <v>200000</v>
      </c>
    </row>
    <row r="110" spans="1:4" x14ac:dyDescent="0.25">
      <c r="A110" t="str">
        <f>T("   CN")</f>
        <v xml:space="preserve">   CN</v>
      </c>
      <c r="B110" t="str">
        <f>T("   Chine")</f>
        <v xml:space="preserve">   Chine</v>
      </c>
      <c r="C110">
        <v>2500000</v>
      </c>
      <c r="D110">
        <v>200000</v>
      </c>
    </row>
    <row r="111" spans="1:4" x14ac:dyDescent="0.25">
      <c r="A111" t="str">
        <f>T("081190")</f>
        <v>081190</v>
      </c>
      <c r="B111" t="str">
        <f>T("FRUITS COMESTIBLES, NON-CUITS OU CUITS À L'EAU OU À LA VAPEUR, CONGELÉS, MÊME ADDITIONNÉS DE SUCRE OU D'AUTRES ÉDULCORANTS (À L'EXCL. DES FRAISES, DES FRAMBOISES, DES MÛRES DE RONCE OU DE MÛRIER, DES MÛRES-FRAMBOISES ET DES GROSEILLES À GRAPPES OU À MAQUE")</f>
        <v>FRUITS COMESTIBLES, NON-CUITS OU CUITS À L'EAU OU À LA VAPEUR, CONGELÉS, MÊME ADDITIONNÉS DE SUCRE OU D'AUTRES ÉDULCORANTS (À L'EXCL. DES FRAISES, DES FRAMBOISES, DES MÛRES DE RONCE OU DE MÛRIER, DES MÛRES-FRAMBOISES ET DES GROSEILLES À GRAPPES OU À MAQUE</v>
      </c>
    </row>
    <row r="112" spans="1:4" x14ac:dyDescent="0.25">
      <c r="A112" t="str">
        <f>T("   ZZZ_Monde")</f>
        <v xml:space="preserve">   ZZZ_Monde</v>
      </c>
      <c r="B112" t="str">
        <f>T("   ZZZ_Monde")</f>
        <v xml:space="preserve">   ZZZ_Monde</v>
      </c>
      <c r="C112">
        <v>7363807</v>
      </c>
      <c r="D112">
        <v>12015</v>
      </c>
    </row>
    <row r="113" spans="1:4" x14ac:dyDescent="0.25">
      <c r="A113" t="str">
        <f>T("   ES")</f>
        <v xml:space="preserve">   ES</v>
      </c>
      <c r="B113" t="str">
        <f>T("   Espagne")</f>
        <v xml:space="preserve">   Espagne</v>
      </c>
      <c r="C113">
        <v>7363807</v>
      </c>
      <c r="D113">
        <v>12015</v>
      </c>
    </row>
    <row r="114" spans="1:4" x14ac:dyDescent="0.25">
      <c r="A114" t="str">
        <f>T("090220")</f>
        <v>090220</v>
      </c>
      <c r="B114" t="str">
        <f>T("Thé vert [thé non fermenté], présenté en emballages immédiats d'un contenu &gt; 3 kg")</f>
        <v>Thé vert [thé non fermenté], présenté en emballages immédiats d'un contenu &gt; 3 kg</v>
      </c>
    </row>
    <row r="115" spans="1:4" x14ac:dyDescent="0.25">
      <c r="A115" t="str">
        <f>T("   ZZZ_Monde")</f>
        <v xml:space="preserve">   ZZZ_Monde</v>
      </c>
      <c r="B115" t="str">
        <f>T("   ZZZ_Monde")</f>
        <v xml:space="preserve">   ZZZ_Monde</v>
      </c>
      <c r="C115">
        <v>140000</v>
      </c>
      <c r="D115">
        <v>80</v>
      </c>
    </row>
    <row r="116" spans="1:4" x14ac:dyDescent="0.25">
      <c r="A116" t="str">
        <f>T("   TG")</f>
        <v xml:space="preserve">   TG</v>
      </c>
      <c r="B116" t="str">
        <f>T("   Togo")</f>
        <v xml:space="preserve">   Togo</v>
      </c>
      <c r="C116">
        <v>140000</v>
      </c>
      <c r="D116">
        <v>80</v>
      </c>
    </row>
    <row r="117" spans="1:4" x14ac:dyDescent="0.25">
      <c r="A117" t="str">
        <f>T("090230")</f>
        <v>090230</v>
      </c>
      <c r="B117" t="str">
        <f>T("THÉ NOIR [FERMENTÉ] ET THÉ PARTIELLEMENT FERMENTÉ, MÊME AROMATISÉS, PRÉSENTÉS EN EMBALLAGES IMMÉDIATS D'UN CONTENU &lt;= 3 KG [01/01/1988-31/12/1991: THÉ NOIR [THÉ FERMENTE], ET THÉ PARTIELLEMENT FERMENTE, PRESENTES EN EMBALLAGES IMMEDIATS D'UN CONTENU &lt;= 3")</f>
        <v>THÉ NOIR [FERMENTÉ] ET THÉ PARTIELLEMENT FERMENTÉ, MÊME AROMATISÉS, PRÉSENTÉS EN EMBALLAGES IMMÉDIATS D'UN CONTENU &lt;= 3 KG [01/01/1988-31/12/1991: THÉ NOIR [THÉ FERMENTE], ET THÉ PARTIELLEMENT FERMENTE, PRESENTES EN EMBALLAGES IMMEDIATS D'UN CONTENU &lt;= 3</v>
      </c>
    </row>
    <row r="118" spans="1:4" x14ac:dyDescent="0.25">
      <c r="A118" t="str">
        <f>T("   ZZZ_Monde")</f>
        <v xml:space="preserve">   ZZZ_Monde</v>
      </c>
      <c r="B118" t="str">
        <f>T("   ZZZ_Monde")</f>
        <v xml:space="preserve">   ZZZ_Monde</v>
      </c>
      <c r="C118">
        <v>60000</v>
      </c>
      <c r="D118">
        <v>140</v>
      </c>
    </row>
    <row r="119" spans="1:4" x14ac:dyDescent="0.25">
      <c r="A119" t="str">
        <f>T("   GH")</f>
        <v xml:space="preserve">   GH</v>
      </c>
      <c r="B119" t="str">
        <f>T("   Ghana")</f>
        <v xml:space="preserve">   Ghana</v>
      </c>
      <c r="C119">
        <v>60000</v>
      </c>
      <c r="D119">
        <v>140</v>
      </c>
    </row>
    <row r="120" spans="1:4" x14ac:dyDescent="0.25">
      <c r="A120" t="str">
        <f>T("090420")</f>
        <v>090420</v>
      </c>
      <c r="B120" t="str">
        <f>T("Piments du genre 'Capsicum' ou du genre 'Pimenta', séchés ou broyés ou pulvérisés")</f>
        <v>Piments du genre 'Capsicum' ou du genre 'Pimenta', séchés ou broyés ou pulvérisés</v>
      </c>
    </row>
    <row r="121" spans="1:4" x14ac:dyDescent="0.25">
      <c r="A121" t="str">
        <f>T("   ZZZ_Monde")</f>
        <v xml:space="preserve">   ZZZ_Monde</v>
      </c>
      <c r="B121" t="str">
        <f>T("   ZZZ_Monde")</f>
        <v xml:space="preserve">   ZZZ_Monde</v>
      </c>
      <c r="C121">
        <v>15957450</v>
      </c>
      <c r="D121">
        <v>14822</v>
      </c>
    </row>
    <row r="122" spans="1:4" x14ac:dyDescent="0.25">
      <c r="A122" t="str">
        <f>T("   SN")</f>
        <v xml:space="preserve">   SN</v>
      </c>
      <c r="B122" t="str">
        <f>T("   Sénégal")</f>
        <v xml:space="preserve">   Sénégal</v>
      </c>
      <c r="C122">
        <v>15957450</v>
      </c>
      <c r="D122">
        <v>14822</v>
      </c>
    </row>
    <row r="123" spans="1:4" x14ac:dyDescent="0.25">
      <c r="A123" t="str">
        <f>T("091010")</f>
        <v>091010</v>
      </c>
      <c r="B123" t="str">
        <f>T("Gingembre")</f>
        <v>Gingembre</v>
      </c>
    </row>
    <row r="124" spans="1:4" x14ac:dyDescent="0.25">
      <c r="A124" t="str">
        <f>T("   ZZZ_Monde")</f>
        <v xml:space="preserve">   ZZZ_Monde</v>
      </c>
      <c r="B124" t="str">
        <f>T("   ZZZ_Monde")</f>
        <v xml:space="preserve">   ZZZ_Monde</v>
      </c>
      <c r="C124">
        <v>28876712</v>
      </c>
      <c r="D124">
        <v>117600</v>
      </c>
    </row>
    <row r="125" spans="1:4" x14ac:dyDescent="0.25">
      <c r="A125" t="str">
        <f>T("   FR")</f>
        <v xml:space="preserve">   FR</v>
      </c>
      <c r="B125" t="str">
        <f>T("   France")</f>
        <v xml:space="preserve">   France</v>
      </c>
      <c r="C125">
        <v>922990</v>
      </c>
      <c r="D125">
        <v>10380</v>
      </c>
    </row>
    <row r="126" spans="1:4" x14ac:dyDescent="0.25">
      <c r="A126" t="str">
        <f>T("   MA")</f>
        <v xml:space="preserve">   MA</v>
      </c>
      <c r="B126" t="str">
        <f>T("   Maroc")</f>
        <v xml:space="preserve">   Maroc</v>
      </c>
      <c r="C126">
        <v>27953722</v>
      </c>
      <c r="D126">
        <v>107220</v>
      </c>
    </row>
    <row r="127" spans="1:4" x14ac:dyDescent="0.25">
      <c r="A127" t="str">
        <f>T("091099")</f>
        <v>091099</v>
      </c>
      <c r="B127"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128" spans="1:4" x14ac:dyDescent="0.25">
      <c r="A128" t="str">
        <f>T("   ZZZ_Monde")</f>
        <v xml:space="preserve">   ZZZ_Monde</v>
      </c>
      <c r="B128" t="str">
        <f>T("   ZZZ_Monde")</f>
        <v xml:space="preserve">   ZZZ_Monde</v>
      </c>
      <c r="C128">
        <v>20475000</v>
      </c>
      <c r="D128">
        <v>270000</v>
      </c>
    </row>
    <row r="129" spans="1:4" x14ac:dyDescent="0.25">
      <c r="A129" t="str">
        <f>T("   CN")</f>
        <v xml:space="preserve">   CN</v>
      </c>
      <c r="B129" t="str">
        <f>T("   Chine")</f>
        <v xml:space="preserve">   Chine</v>
      </c>
      <c r="C129">
        <v>18000000</v>
      </c>
      <c r="D129">
        <v>120000</v>
      </c>
    </row>
    <row r="130" spans="1:4" x14ac:dyDescent="0.25">
      <c r="A130" t="str">
        <f>T("   IN")</f>
        <v xml:space="preserve">   IN</v>
      </c>
      <c r="B130" t="str">
        <f>T("   Inde")</f>
        <v xml:space="preserve">   Inde</v>
      </c>
      <c r="C130">
        <v>2475000</v>
      </c>
      <c r="D130">
        <v>150000</v>
      </c>
    </row>
    <row r="131" spans="1:4" x14ac:dyDescent="0.25">
      <c r="A131" t="str">
        <f>T("100110")</f>
        <v>100110</v>
      </c>
      <c r="B131" t="str">
        <f>T("Froment [blé] dur")</f>
        <v>Froment [blé] dur</v>
      </c>
    </row>
    <row r="132" spans="1:4" x14ac:dyDescent="0.25">
      <c r="A132" t="str">
        <f>T("   ZZZ_Monde")</f>
        <v xml:space="preserve">   ZZZ_Monde</v>
      </c>
      <c r="B132" t="str">
        <f>T("   ZZZ_Monde")</f>
        <v xml:space="preserve">   ZZZ_Monde</v>
      </c>
      <c r="C132">
        <v>892179163</v>
      </c>
      <c r="D132">
        <v>4783560</v>
      </c>
    </row>
    <row r="133" spans="1:4" x14ac:dyDescent="0.25">
      <c r="A133" t="str">
        <f>T("   NE")</f>
        <v xml:space="preserve">   NE</v>
      </c>
      <c r="B133" t="str">
        <f>T("   Niger")</f>
        <v xml:space="preserve">   Niger</v>
      </c>
      <c r="C133">
        <v>892179163</v>
      </c>
      <c r="D133">
        <v>4783560</v>
      </c>
    </row>
    <row r="134" spans="1:4" x14ac:dyDescent="0.25">
      <c r="A134" t="str">
        <f>T("100190")</f>
        <v>100190</v>
      </c>
      <c r="B134" t="str">
        <f>T("Froment [blé] et méteil (à l'excl. du froment [blé] dur)")</f>
        <v>Froment [blé] et méteil (à l'excl. du froment [blé] dur)</v>
      </c>
    </row>
    <row r="135" spans="1:4" x14ac:dyDescent="0.25">
      <c r="A135" t="str">
        <f>T("   ZZZ_Monde")</f>
        <v xml:space="preserve">   ZZZ_Monde</v>
      </c>
      <c r="B135" t="str">
        <f>T("   ZZZ_Monde")</f>
        <v xml:space="preserve">   ZZZ_Monde</v>
      </c>
      <c r="C135">
        <v>24000000</v>
      </c>
      <c r="D135">
        <v>150000</v>
      </c>
    </row>
    <row r="136" spans="1:4" x14ac:dyDescent="0.25">
      <c r="A136" t="str">
        <f>T("   CN")</f>
        <v xml:space="preserve">   CN</v>
      </c>
      <c r="B136" t="str">
        <f>T("   Chine")</f>
        <v xml:space="preserve">   Chine</v>
      </c>
      <c r="C136">
        <v>24000000</v>
      </c>
      <c r="D136">
        <v>150000</v>
      </c>
    </row>
    <row r="137" spans="1:4" x14ac:dyDescent="0.25">
      <c r="A137" t="str">
        <f>T("100510")</f>
        <v>100510</v>
      </c>
      <c r="B137" t="str">
        <f>T("Maïs de semence")</f>
        <v>Maïs de semence</v>
      </c>
    </row>
    <row r="138" spans="1:4" x14ac:dyDescent="0.25">
      <c r="A138" t="str">
        <f>T("   ZZZ_Monde")</f>
        <v xml:space="preserve">   ZZZ_Monde</v>
      </c>
      <c r="B138" t="str">
        <f>T("   ZZZ_Monde")</f>
        <v xml:space="preserve">   ZZZ_Monde</v>
      </c>
      <c r="C138">
        <v>749760000</v>
      </c>
      <c r="D138">
        <v>3415497</v>
      </c>
    </row>
    <row r="139" spans="1:4" x14ac:dyDescent="0.25">
      <c r="A139" t="str">
        <f>T("   NE")</f>
        <v xml:space="preserve">   NE</v>
      </c>
      <c r="B139" t="str">
        <f>T("   Niger")</f>
        <v xml:space="preserve">   Niger</v>
      </c>
      <c r="C139">
        <v>749760000</v>
      </c>
      <c r="D139">
        <v>3415497</v>
      </c>
    </row>
    <row r="140" spans="1:4" x14ac:dyDescent="0.25">
      <c r="A140" t="str">
        <f>T("100590")</f>
        <v>100590</v>
      </c>
      <c r="B140" t="str">
        <f>T("Maïs (autre que de semence)")</f>
        <v>Maïs (autre que de semence)</v>
      </c>
    </row>
    <row r="141" spans="1:4" x14ac:dyDescent="0.25">
      <c r="A141" t="str">
        <f>T("   ZZZ_Monde")</f>
        <v xml:space="preserve">   ZZZ_Monde</v>
      </c>
      <c r="B141" t="str">
        <f>T("   ZZZ_Monde")</f>
        <v xml:space="preserve">   ZZZ_Monde</v>
      </c>
      <c r="C141">
        <v>3192392400</v>
      </c>
      <c r="D141">
        <v>15164980</v>
      </c>
    </row>
    <row r="142" spans="1:4" x14ac:dyDescent="0.25">
      <c r="A142" t="str">
        <f>T("   GA")</f>
        <v xml:space="preserve">   GA</v>
      </c>
      <c r="B142" t="str">
        <f>T("   Gabon")</f>
        <v xml:space="preserve">   Gabon</v>
      </c>
      <c r="C142">
        <v>231000</v>
      </c>
      <c r="D142">
        <v>1980</v>
      </c>
    </row>
    <row r="143" spans="1:4" x14ac:dyDescent="0.25">
      <c r="A143" t="str">
        <f>T("   NE")</f>
        <v xml:space="preserve">   NE</v>
      </c>
      <c r="B143" t="str">
        <f>T("   Niger")</f>
        <v xml:space="preserve">   Niger</v>
      </c>
      <c r="C143">
        <v>3192161400</v>
      </c>
      <c r="D143">
        <v>15163000</v>
      </c>
    </row>
    <row r="144" spans="1:4" x14ac:dyDescent="0.25">
      <c r="A144" t="str">
        <f>T("100630")</f>
        <v>100630</v>
      </c>
      <c r="B144" t="str">
        <f>T("Riz semi-blanchi ou blanchi, même poli ou glacé")</f>
        <v>Riz semi-blanchi ou blanchi, même poli ou glacé</v>
      </c>
    </row>
    <row r="145" spans="1:4" x14ac:dyDescent="0.25">
      <c r="A145" t="str">
        <f>T("   ZZZ_Monde")</f>
        <v xml:space="preserve">   ZZZ_Monde</v>
      </c>
      <c r="B145" t="str">
        <f>T("   ZZZ_Monde")</f>
        <v xml:space="preserve">   ZZZ_Monde</v>
      </c>
      <c r="C145">
        <v>1231330722</v>
      </c>
      <c r="D145">
        <v>23385438</v>
      </c>
    </row>
    <row r="146" spans="1:4" x14ac:dyDescent="0.25">
      <c r="A146" t="str">
        <f>T("   BE")</f>
        <v xml:space="preserve">   BE</v>
      </c>
      <c r="B146" t="str">
        <f>T("   Belgique")</f>
        <v xml:space="preserve">   Belgique</v>
      </c>
      <c r="C146">
        <v>6848222</v>
      </c>
      <c r="D146">
        <v>12050</v>
      </c>
    </row>
    <row r="147" spans="1:4" x14ac:dyDescent="0.25">
      <c r="A147" t="str">
        <f>T("   CG")</f>
        <v xml:space="preserve">   CG</v>
      </c>
      <c r="B147" t="str">
        <f>T("   Congo (Brazzaville)")</f>
        <v xml:space="preserve">   Congo (Brazzaville)</v>
      </c>
      <c r="C147">
        <v>63000000</v>
      </c>
      <c r="D147">
        <v>149975</v>
      </c>
    </row>
    <row r="148" spans="1:4" x14ac:dyDescent="0.25">
      <c r="A148" t="str">
        <f>T("   NG")</f>
        <v xml:space="preserve">   NG</v>
      </c>
      <c r="B148" t="str">
        <f>T("   Nigéria")</f>
        <v xml:space="preserve">   Nigéria</v>
      </c>
      <c r="C148">
        <v>1161482500</v>
      </c>
      <c r="D148">
        <v>23223413</v>
      </c>
    </row>
    <row r="149" spans="1:4" x14ac:dyDescent="0.25">
      <c r="A149" t="str">
        <f>T("110100")</f>
        <v>110100</v>
      </c>
      <c r="B149" t="str">
        <f>T("Farines de froment [blé] ou de méteil")</f>
        <v>Farines de froment [blé] ou de méteil</v>
      </c>
    </row>
    <row r="150" spans="1:4" x14ac:dyDescent="0.25">
      <c r="A150" t="str">
        <f>T("   ZZZ_Monde")</f>
        <v xml:space="preserve">   ZZZ_Monde</v>
      </c>
      <c r="B150" t="str">
        <f>T("   ZZZ_Monde")</f>
        <v xml:space="preserve">   ZZZ_Monde</v>
      </c>
      <c r="C150">
        <v>455437927</v>
      </c>
      <c r="D150">
        <v>2460000</v>
      </c>
    </row>
    <row r="151" spans="1:4" x14ac:dyDescent="0.25">
      <c r="A151" t="str">
        <f>T("   NE")</f>
        <v xml:space="preserve">   NE</v>
      </c>
      <c r="B151" t="str">
        <f>T("   Niger")</f>
        <v xml:space="preserve">   Niger</v>
      </c>
      <c r="C151">
        <v>455437927</v>
      </c>
      <c r="D151">
        <v>2460000</v>
      </c>
    </row>
    <row r="152" spans="1:4" x14ac:dyDescent="0.25">
      <c r="A152" t="str">
        <f>T("110290")</f>
        <v>110290</v>
      </c>
      <c r="B152" t="str">
        <f>T("FARINES DE CÉRÉALES (À L'EXCL. DES FARINES DE FROMENT [BLÉ], DE MÉTEIL, DE SEIGLE ET DE MAÏS)")</f>
        <v>FARINES DE CÉRÉALES (À L'EXCL. DES FARINES DE FROMENT [BLÉ], DE MÉTEIL, DE SEIGLE ET DE MAÏS)</v>
      </c>
    </row>
    <row r="153" spans="1:4" x14ac:dyDescent="0.25">
      <c r="A153" t="str">
        <f>T("   ZZZ_Monde")</f>
        <v xml:space="preserve">   ZZZ_Monde</v>
      </c>
      <c r="B153" t="str">
        <f>T("   ZZZ_Monde")</f>
        <v xml:space="preserve">   ZZZ_Monde</v>
      </c>
      <c r="C153">
        <v>2000000</v>
      </c>
      <c r="D153">
        <v>27955</v>
      </c>
    </row>
    <row r="154" spans="1:4" x14ac:dyDescent="0.25">
      <c r="A154" t="str">
        <f>T("   BE")</f>
        <v xml:space="preserve">   BE</v>
      </c>
      <c r="B154" t="str">
        <f>T("   Belgique")</f>
        <v xml:space="preserve">   Belgique</v>
      </c>
      <c r="C154">
        <v>1200000</v>
      </c>
      <c r="D154">
        <v>17955</v>
      </c>
    </row>
    <row r="155" spans="1:4" x14ac:dyDescent="0.25">
      <c r="A155" t="str">
        <f>T("   CN")</f>
        <v xml:space="preserve">   CN</v>
      </c>
      <c r="B155" t="str">
        <f>T("   Chine")</f>
        <v xml:space="preserve">   Chine</v>
      </c>
      <c r="C155">
        <v>800000</v>
      </c>
      <c r="D155">
        <v>10000</v>
      </c>
    </row>
    <row r="156" spans="1:4" x14ac:dyDescent="0.25">
      <c r="A156" t="str">
        <f>T("110311")</f>
        <v>110311</v>
      </c>
      <c r="B156" t="str">
        <f>T("Gruaux et semoules de froment [blé]")</f>
        <v>Gruaux et semoules de froment [blé]</v>
      </c>
    </row>
    <row r="157" spans="1:4" x14ac:dyDescent="0.25">
      <c r="A157" t="str">
        <f>T("   ZZZ_Monde")</f>
        <v xml:space="preserve">   ZZZ_Monde</v>
      </c>
      <c r="B157" t="str">
        <f>T("   ZZZ_Monde")</f>
        <v xml:space="preserve">   ZZZ_Monde</v>
      </c>
      <c r="C157">
        <v>1961170434</v>
      </c>
      <c r="D157">
        <v>5840888</v>
      </c>
    </row>
    <row r="158" spans="1:4" x14ac:dyDescent="0.25">
      <c r="A158" t="str">
        <f>T("   BF")</f>
        <v xml:space="preserve">   BF</v>
      </c>
      <c r="B158" t="str">
        <f>T("   Burkina Faso")</f>
        <v xml:space="preserve">   Burkina Faso</v>
      </c>
      <c r="C158">
        <v>48291192</v>
      </c>
      <c r="D158">
        <v>141800</v>
      </c>
    </row>
    <row r="159" spans="1:4" x14ac:dyDescent="0.25">
      <c r="A159" t="str">
        <f>T("   NE")</f>
        <v xml:space="preserve">   NE</v>
      </c>
      <c r="B159" t="str">
        <f>T("   Niger")</f>
        <v xml:space="preserve">   Niger</v>
      </c>
      <c r="C159">
        <v>633647428</v>
      </c>
      <c r="D159">
        <v>1846264</v>
      </c>
    </row>
    <row r="160" spans="1:4" x14ac:dyDescent="0.25">
      <c r="A160" t="str">
        <f>T("   NG")</f>
        <v xml:space="preserve">   NG</v>
      </c>
      <c r="B160" t="str">
        <f>T("   Nigéria")</f>
        <v xml:space="preserve">   Nigéria</v>
      </c>
      <c r="C160">
        <v>945536474</v>
      </c>
      <c r="D160">
        <v>2857081</v>
      </c>
    </row>
    <row r="161" spans="1:4" x14ac:dyDescent="0.25">
      <c r="A161" t="str">
        <f>T("   TG")</f>
        <v xml:space="preserve">   TG</v>
      </c>
      <c r="B161" t="str">
        <f>T("   Togo")</f>
        <v xml:space="preserve">   Togo</v>
      </c>
      <c r="C161">
        <v>333695340</v>
      </c>
      <c r="D161">
        <v>995743</v>
      </c>
    </row>
    <row r="162" spans="1:4" x14ac:dyDescent="0.25">
      <c r="A162" t="str">
        <f>T("110423")</f>
        <v>110423</v>
      </c>
      <c r="B162" t="str">
        <f>T("Grains de maïs, mondés, perlés, tranchés, concassés ou autrement travaillés (à l'excl. de la farine de maïs)")</f>
        <v>Grains de maïs, mondés, perlés, tranchés, concassés ou autrement travaillés (à l'excl. de la farine de maïs)</v>
      </c>
    </row>
    <row r="163" spans="1:4" x14ac:dyDescent="0.25">
      <c r="A163" t="str">
        <f>T("   ZZZ_Monde")</f>
        <v xml:space="preserve">   ZZZ_Monde</v>
      </c>
      <c r="B163" t="str">
        <f>T("   ZZZ_Monde")</f>
        <v xml:space="preserve">   ZZZ_Monde</v>
      </c>
      <c r="C163">
        <v>90140000</v>
      </c>
      <c r="D163">
        <v>280140</v>
      </c>
    </row>
    <row r="164" spans="1:4" x14ac:dyDescent="0.25">
      <c r="A164" t="str">
        <f>T("   NE")</f>
        <v xml:space="preserve">   NE</v>
      </c>
      <c r="B164" t="str">
        <f>T("   Niger")</f>
        <v xml:space="preserve">   Niger</v>
      </c>
      <c r="C164">
        <v>90140000</v>
      </c>
      <c r="D164">
        <v>280140</v>
      </c>
    </row>
    <row r="165" spans="1:4" x14ac:dyDescent="0.25">
      <c r="A165" t="str">
        <f>T("110620")</f>
        <v>110620</v>
      </c>
      <c r="B165" t="str">
        <f>T("Farines, semoules et poudres de sagou ou des racines ou tubercules du n° 0714")</f>
        <v>Farines, semoules et poudres de sagou ou des racines ou tubercules du n° 0714</v>
      </c>
    </row>
    <row r="166" spans="1:4" x14ac:dyDescent="0.25">
      <c r="A166" t="str">
        <f>T("   ZZZ_Monde")</f>
        <v xml:space="preserve">   ZZZ_Monde</v>
      </c>
      <c r="B166" t="str">
        <f>T("   ZZZ_Monde")</f>
        <v xml:space="preserve">   ZZZ_Monde</v>
      </c>
      <c r="C166">
        <v>19848815</v>
      </c>
      <c r="D166">
        <v>139160</v>
      </c>
    </row>
    <row r="167" spans="1:4" x14ac:dyDescent="0.25">
      <c r="A167" t="str">
        <f>T("   CD")</f>
        <v xml:space="preserve">   CD</v>
      </c>
      <c r="B167" t="str">
        <f>T("   Congo, République Démocratique")</f>
        <v xml:space="preserve">   Congo, République Démocratique</v>
      </c>
      <c r="C167">
        <v>472000</v>
      </c>
      <c r="D167">
        <v>1370</v>
      </c>
    </row>
    <row r="168" spans="1:4" x14ac:dyDescent="0.25">
      <c r="A168" t="str">
        <f>T("   CG")</f>
        <v xml:space="preserve">   CG</v>
      </c>
      <c r="B168" t="str">
        <f>T("   Congo (Brazzaville)")</f>
        <v xml:space="preserve">   Congo (Brazzaville)</v>
      </c>
      <c r="C168">
        <v>1590000</v>
      </c>
      <c r="D168">
        <v>30000</v>
      </c>
    </row>
    <row r="169" spans="1:4" x14ac:dyDescent="0.25">
      <c r="A169" t="str">
        <f>T("   FR")</f>
        <v xml:space="preserve">   FR</v>
      </c>
      <c r="B169" t="str">
        <f>T("   France")</f>
        <v xml:space="preserve">   France</v>
      </c>
      <c r="C169">
        <v>8083315</v>
      </c>
      <c r="D169">
        <v>40280</v>
      </c>
    </row>
    <row r="170" spans="1:4" x14ac:dyDescent="0.25">
      <c r="A170" t="str">
        <f>T("   GA")</f>
        <v xml:space="preserve">   GA</v>
      </c>
      <c r="B170" t="str">
        <f>T("   Gabon")</f>
        <v xml:space="preserve">   Gabon</v>
      </c>
      <c r="C170">
        <v>9053500</v>
      </c>
      <c r="D170">
        <v>54510</v>
      </c>
    </row>
    <row r="171" spans="1:4" x14ac:dyDescent="0.25">
      <c r="A171" t="str">
        <f>T("   US")</f>
        <v xml:space="preserve">   US</v>
      </c>
      <c r="B171" t="str">
        <f>T("   Etats-Unis")</f>
        <v xml:space="preserve">   Etats-Unis</v>
      </c>
      <c r="C171">
        <v>650000</v>
      </c>
      <c r="D171">
        <v>13000</v>
      </c>
    </row>
    <row r="172" spans="1:4" x14ac:dyDescent="0.25">
      <c r="A172" t="str">
        <f>T("110630")</f>
        <v>110630</v>
      </c>
      <c r="B172" t="s">
        <v>13</v>
      </c>
    </row>
    <row r="173" spans="1:4" x14ac:dyDescent="0.25">
      <c r="A173" t="str">
        <f>T("   ZZZ_Monde")</f>
        <v xml:space="preserve">   ZZZ_Monde</v>
      </c>
      <c r="B173" t="str">
        <f>T("   ZZZ_Monde")</f>
        <v xml:space="preserve">   ZZZ_Monde</v>
      </c>
      <c r="C173">
        <v>10000000</v>
      </c>
      <c r="D173">
        <v>9900</v>
      </c>
    </row>
    <row r="174" spans="1:4" x14ac:dyDescent="0.25">
      <c r="A174" t="str">
        <f>T("   SM")</f>
        <v xml:space="preserve">   SM</v>
      </c>
      <c r="B174" t="str">
        <f>T("   Saint-Marin")</f>
        <v xml:space="preserve">   Saint-Marin</v>
      </c>
      <c r="C174">
        <v>10000000</v>
      </c>
      <c r="D174">
        <v>9900</v>
      </c>
    </row>
    <row r="175" spans="1:4" x14ac:dyDescent="0.25">
      <c r="A175" t="str">
        <f>T("120710")</f>
        <v>120710</v>
      </c>
      <c r="B175" t="str">
        <f>T("NOIX ET AMANDES DE PALMISTES")</f>
        <v>NOIX ET AMANDES DE PALMISTES</v>
      </c>
    </row>
    <row r="176" spans="1:4" x14ac:dyDescent="0.25">
      <c r="A176" t="str">
        <f>T("   ZZZ_Monde")</f>
        <v xml:space="preserve">   ZZZ_Monde</v>
      </c>
      <c r="B176" t="str">
        <f>T("   ZZZ_Monde")</f>
        <v xml:space="preserve">   ZZZ_Monde</v>
      </c>
      <c r="C176">
        <v>1274089758</v>
      </c>
      <c r="D176">
        <v>19737.59</v>
      </c>
    </row>
    <row r="177" spans="1:4" x14ac:dyDescent="0.25">
      <c r="A177" t="str">
        <f>T("   BE")</f>
        <v xml:space="preserve">   BE</v>
      </c>
      <c r="B177" t="str">
        <f>T("   Belgique")</f>
        <v xml:space="preserve">   Belgique</v>
      </c>
      <c r="C177">
        <v>46048181</v>
      </c>
      <c r="D177">
        <v>448</v>
      </c>
    </row>
    <row r="178" spans="1:4" x14ac:dyDescent="0.25">
      <c r="A178" t="str">
        <f>T("   CD")</f>
        <v xml:space="preserve">   CD</v>
      </c>
      <c r="B178" t="str">
        <f>T("   Congo, République Démocratique")</f>
        <v xml:space="preserve">   Congo, République Démocratique</v>
      </c>
      <c r="C178">
        <v>146560793</v>
      </c>
      <c r="D178">
        <v>1518</v>
      </c>
    </row>
    <row r="179" spans="1:4" x14ac:dyDescent="0.25">
      <c r="A179" t="str">
        <f>T("   CL")</f>
        <v xml:space="preserve">   CL</v>
      </c>
      <c r="B179" t="str">
        <f>T("   Chili")</f>
        <v xml:space="preserve">   Chili</v>
      </c>
      <c r="C179">
        <v>30000</v>
      </c>
      <c r="D179">
        <v>10</v>
      </c>
    </row>
    <row r="180" spans="1:4" x14ac:dyDescent="0.25">
      <c r="A180" t="str">
        <f>T("   CO")</f>
        <v xml:space="preserve">   CO</v>
      </c>
      <c r="B180" t="str">
        <f>T("   Colombie")</f>
        <v xml:space="preserve">   Colombie</v>
      </c>
      <c r="C180">
        <v>80000</v>
      </c>
      <c r="D180">
        <v>48.06</v>
      </c>
    </row>
    <row r="181" spans="1:4" x14ac:dyDescent="0.25">
      <c r="A181" t="str">
        <f>T("   EC")</f>
        <v xml:space="preserve">   EC</v>
      </c>
      <c r="B181" t="str">
        <f>T("   Equateur")</f>
        <v xml:space="preserve">   Equateur</v>
      </c>
      <c r="C181">
        <v>90000</v>
      </c>
      <c r="D181">
        <v>223.75</v>
      </c>
    </row>
    <row r="182" spans="1:4" x14ac:dyDescent="0.25">
      <c r="A182" t="str">
        <f>T("   FR")</f>
        <v xml:space="preserve">   FR</v>
      </c>
      <c r="B182" t="str">
        <f>T("   France")</f>
        <v xml:space="preserve">   France</v>
      </c>
      <c r="C182">
        <v>62971872</v>
      </c>
      <c r="D182">
        <v>1360</v>
      </c>
    </row>
    <row r="183" spans="1:4" x14ac:dyDescent="0.25">
      <c r="A183" t="str">
        <f>T("   GA")</f>
        <v xml:space="preserve">   GA</v>
      </c>
      <c r="B183" t="str">
        <f>T("   Gabon")</f>
        <v xml:space="preserve">   Gabon</v>
      </c>
      <c r="C183">
        <v>31485936</v>
      </c>
      <c r="D183">
        <v>374</v>
      </c>
    </row>
    <row r="184" spans="1:4" x14ac:dyDescent="0.25">
      <c r="A184" t="str">
        <f>T("   GH")</f>
        <v xml:space="preserve">   GH</v>
      </c>
      <c r="B184" t="str">
        <f>T("   Ghana")</f>
        <v xml:space="preserve">   Ghana</v>
      </c>
      <c r="C184">
        <v>103313228</v>
      </c>
      <c r="D184">
        <v>1188</v>
      </c>
    </row>
    <row r="185" spans="1:4" x14ac:dyDescent="0.25">
      <c r="A185" t="str">
        <f>T("   GN")</f>
        <v xml:space="preserve">   GN</v>
      </c>
      <c r="B185" t="str">
        <f>T("   Guinée")</f>
        <v xml:space="preserve">   Guinée</v>
      </c>
      <c r="C185">
        <v>48016052</v>
      </c>
      <c r="D185">
        <v>490</v>
      </c>
    </row>
    <row r="186" spans="1:4" x14ac:dyDescent="0.25">
      <c r="A186" t="str">
        <f>T("   ID")</f>
        <v xml:space="preserve">   ID</v>
      </c>
      <c r="B186" t="str">
        <f>T("   Indonésie")</f>
        <v xml:space="preserve">   Indonésie</v>
      </c>
      <c r="C186">
        <v>30000</v>
      </c>
      <c r="D186">
        <v>13</v>
      </c>
    </row>
    <row r="187" spans="1:4" x14ac:dyDescent="0.25">
      <c r="A187" t="str">
        <f>T("   IN")</f>
        <v xml:space="preserve">   IN</v>
      </c>
      <c r="B187" t="str">
        <f>T("   Inde")</f>
        <v xml:space="preserve">   Inde</v>
      </c>
      <c r="C187">
        <v>302480113</v>
      </c>
      <c r="D187">
        <v>5938.88</v>
      </c>
    </row>
    <row r="188" spans="1:4" x14ac:dyDescent="0.25">
      <c r="A188" t="str">
        <f>T("   LB")</f>
        <v xml:space="preserve">   LB</v>
      </c>
      <c r="B188" t="str">
        <f>T("   Liban")</f>
        <v xml:space="preserve">   Liban</v>
      </c>
      <c r="C188">
        <v>45916991</v>
      </c>
      <c r="D188">
        <v>478</v>
      </c>
    </row>
    <row r="189" spans="1:4" x14ac:dyDescent="0.25">
      <c r="A189" t="str">
        <f>T("   LR")</f>
        <v xml:space="preserve">   LR</v>
      </c>
      <c r="B189" t="str">
        <f>T("   Libéria")</f>
        <v xml:space="preserve">   Libéria</v>
      </c>
      <c r="C189">
        <v>198426998</v>
      </c>
      <c r="D189">
        <v>1981</v>
      </c>
    </row>
    <row r="190" spans="1:4" x14ac:dyDescent="0.25">
      <c r="A190" t="str">
        <f>T("   NG")</f>
        <v xml:space="preserve">   NG</v>
      </c>
      <c r="B190" t="str">
        <f>T("   Nigéria")</f>
        <v xml:space="preserve">   Nigéria</v>
      </c>
      <c r="C190">
        <v>89864623</v>
      </c>
      <c r="D190">
        <v>1236.9000000000001</v>
      </c>
    </row>
    <row r="191" spans="1:4" x14ac:dyDescent="0.25">
      <c r="A191" t="str">
        <f>T("   TH")</f>
        <v xml:space="preserve">   TH</v>
      </c>
      <c r="B191" t="str">
        <f>T("   Thaïlande")</f>
        <v xml:space="preserve">   Thaïlande</v>
      </c>
      <c r="C191">
        <v>151546067</v>
      </c>
      <c r="D191">
        <v>3386</v>
      </c>
    </row>
    <row r="192" spans="1:4" x14ac:dyDescent="0.25">
      <c r="A192" t="str">
        <f>T("   TM")</f>
        <v xml:space="preserve">   TM</v>
      </c>
      <c r="B192" t="str">
        <f>T("   Turkménistan")</f>
        <v xml:space="preserve">   Turkménistan</v>
      </c>
      <c r="C192">
        <v>47228904</v>
      </c>
      <c r="D192">
        <v>1044</v>
      </c>
    </row>
    <row r="193" spans="1:4" x14ac:dyDescent="0.25">
      <c r="A193" t="str">
        <f>T("120740")</f>
        <v>120740</v>
      </c>
      <c r="B193" t="str">
        <f>T("Graines de sésame, même concassées")</f>
        <v>Graines de sésame, même concassées</v>
      </c>
    </row>
    <row r="194" spans="1:4" x14ac:dyDescent="0.25">
      <c r="A194" t="str">
        <f>T("   ZZZ_Monde")</f>
        <v xml:space="preserve">   ZZZ_Monde</v>
      </c>
      <c r="B194" t="str">
        <f>T("   ZZZ_Monde")</f>
        <v xml:space="preserve">   ZZZ_Monde</v>
      </c>
      <c r="C194">
        <v>73130000</v>
      </c>
      <c r="D194">
        <v>410000</v>
      </c>
    </row>
    <row r="195" spans="1:4" x14ac:dyDescent="0.25">
      <c r="A195" t="str">
        <f>T("   CN")</f>
        <v xml:space="preserve">   CN</v>
      </c>
      <c r="B195" t="str">
        <f>T("   Chine")</f>
        <v xml:space="preserve">   Chine</v>
      </c>
      <c r="C195">
        <v>73130000</v>
      </c>
      <c r="D195">
        <v>410000</v>
      </c>
    </row>
    <row r="196" spans="1:4" x14ac:dyDescent="0.25">
      <c r="A196" t="str">
        <f>T("120799")</f>
        <v>120799</v>
      </c>
      <c r="B196"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197" spans="1:4" x14ac:dyDescent="0.25">
      <c r="A197" t="str">
        <f>T("   ZZZ_Monde")</f>
        <v xml:space="preserve">   ZZZ_Monde</v>
      </c>
      <c r="B197" t="str">
        <f>T("   ZZZ_Monde")</f>
        <v xml:space="preserve">   ZZZ_Monde</v>
      </c>
      <c r="C197">
        <v>524994357</v>
      </c>
      <c r="D197">
        <v>2880655</v>
      </c>
    </row>
    <row r="198" spans="1:4" x14ac:dyDescent="0.25">
      <c r="A198" t="str">
        <f>T("   BE")</f>
        <v xml:space="preserve">   BE</v>
      </c>
      <c r="B198" t="str">
        <f>T("   Belgique")</f>
        <v xml:space="preserve">   Belgique</v>
      </c>
      <c r="C198">
        <v>12966503</v>
      </c>
      <c r="D198">
        <v>35283</v>
      </c>
    </row>
    <row r="199" spans="1:4" x14ac:dyDescent="0.25">
      <c r="A199" t="str">
        <f>T("   ES")</f>
        <v xml:space="preserve">   ES</v>
      </c>
      <c r="B199" t="str">
        <f>T("   Espagne")</f>
        <v xml:space="preserve">   Espagne</v>
      </c>
      <c r="C199">
        <v>190400000</v>
      </c>
      <c r="D199">
        <v>880000</v>
      </c>
    </row>
    <row r="200" spans="1:4" x14ac:dyDescent="0.25">
      <c r="A200" t="str">
        <f>T("   IN")</f>
        <v xml:space="preserve">   IN</v>
      </c>
      <c r="B200" t="str">
        <f>T("   Inde")</f>
        <v xml:space="preserve">   Inde</v>
      </c>
      <c r="C200">
        <v>321627854</v>
      </c>
      <c r="D200">
        <v>1965372</v>
      </c>
    </row>
    <row r="201" spans="1:4" x14ac:dyDescent="0.25">
      <c r="A201" t="str">
        <f>T("121190")</f>
        <v>121190</v>
      </c>
      <c r="B201"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202" spans="1:4" x14ac:dyDescent="0.25">
      <c r="A202" t="str">
        <f>T("   ZZZ_Monde")</f>
        <v xml:space="preserve">   ZZZ_Monde</v>
      </c>
      <c r="B202" t="str">
        <f>T("   ZZZ_Monde")</f>
        <v xml:space="preserve">   ZZZ_Monde</v>
      </c>
      <c r="C202">
        <v>65596</v>
      </c>
      <c r="D202">
        <v>5</v>
      </c>
    </row>
    <row r="203" spans="1:4" x14ac:dyDescent="0.25">
      <c r="A203" t="str">
        <f>T("   FR")</f>
        <v xml:space="preserve">   FR</v>
      </c>
      <c r="B203" t="str">
        <f>T("   France")</f>
        <v xml:space="preserve">   France</v>
      </c>
      <c r="C203">
        <v>65596</v>
      </c>
      <c r="D203">
        <v>5</v>
      </c>
    </row>
    <row r="204" spans="1:4" x14ac:dyDescent="0.25">
      <c r="A204" t="str">
        <f>T("121299")</f>
        <v>121299</v>
      </c>
      <c r="B204"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205" spans="1:4" x14ac:dyDescent="0.25">
      <c r="A205" t="str">
        <f>T("   ZZZ_Monde")</f>
        <v xml:space="preserve">   ZZZ_Monde</v>
      </c>
      <c r="B205" t="str">
        <f>T("   ZZZ_Monde")</f>
        <v xml:space="preserve">   ZZZ_Monde</v>
      </c>
      <c r="C205">
        <v>156146628</v>
      </c>
      <c r="D205">
        <v>810820</v>
      </c>
    </row>
    <row r="206" spans="1:4" x14ac:dyDescent="0.25">
      <c r="A206" t="str">
        <f>T("   ES")</f>
        <v xml:space="preserve">   ES</v>
      </c>
      <c r="B206" t="str">
        <f>T("   Espagne")</f>
        <v xml:space="preserve">   Espagne</v>
      </c>
      <c r="C206">
        <v>156146628</v>
      </c>
      <c r="D206">
        <v>810820</v>
      </c>
    </row>
    <row r="207" spans="1:4" x14ac:dyDescent="0.25">
      <c r="A207" t="str">
        <f>T("130120")</f>
        <v>130120</v>
      </c>
      <c r="B207" t="str">
        <f>T("Gomme arabique")</f>
        <v>Gomme arabique</v>
      </c>
    </row>
    <row r="208" spans="1:4" x14ac:dyDescent="0.25">
      <c r="A208" t="str">
        <f>T("   ZZZ_Monde")</f>
        <v xml:space="preserve">   ZZZ_Monde</v>
      </c>
      <c r="B208" t="str">
        <f>T("   ZZZ_Monde")</f>
        <v xml:space="preserve">   ZZZ_Monde</v>
      </c>
      <c r="C208">
        <v>4400000</v>
      </c>
      <c r="D208">
        <v>22000</v>
      </c>
    </row>
    <row r="209" spans="1:4" x14ac:dyDescent="0.25">
      <c r="A209" t="str">
        <f>T("   FR")</f>
        <v xml:space="preserve">   FR</v>
      </c>
      <c r="B209" t="str">
        <f>T("   France")</f>
        <v xml:space="preserve">   France</v>
      </c>
      <c r="C209">
        <v>4400000</v>
      </c>
      <c r="D209">
        <v>22000</v>
      </c>
    </row>
    <row r="210" spans="1:4" x14ac:dyDescent="0.25">
      <c r="A210" t="str">
        <f>T("140420")</f>
        <v>140420</v>
      </c>
      <c r="B210" t="str">
        <f>T("Linters de coton")</f>
        <v>Linters de coton</v>
      </c>
    </row>
    <row r="211" spans="1:4" x14ac:dyDescent="0.25">
      <c r="A211" t="str">
        <f>T("   ZZZ_Monde")</f>
        <v xml:space="preserve">   ZZZ_Monde</v>
      </c>
      <c r="B211" t="str">
        <f>T("   ZZZ_Monde")</f>
        <v xml:space="preserve">   ZZZ_Monde</v>
      </c>
      <c r="C211">
        <v>279609337</v>
      </c>
      <c r="D211">
        <v>1296243</v>
      </c>
    </row>
    <row r="212" spans="1:4" x14ac:dyDescent="0.25">
      <c r="A212" t="str">
        <f>T("   CN")</f>
        <v xml:space="preserve">   CN</v>
      </c>
      <c r="B212" t="str">
        <f>T("   Chine")</f>
        <v xml:space="preserve">   Chine</v>
      </c>
      <c r="C212">
        <v>279609337</v>
      </c>
      <c r="D212">
        <v>1296243</v>
      </c>
    </row>
    <row r="213" spans="1:4" x14ac:dyDescent="0.25">
      <c r="A213" t="str">
        <f>T("140490")</f>
        <v>140490</v>
      </c>
      <c r="B213" t="str">
        <f>T("Produits végétaux, n.d.a.")</f>
        <v>Produits végétaux, n.d.a.</v>
      </c>
    </row>
    <row r="214" spans="1:4" x14ac:dyDescent="0.25">
      <c r="A214" t="str">
        <f>T("   ZZZ_Monde")</f>
        <v xml:space="preserve">   ZZZ_Monde</v>
      </c>
      <c r="B214" t="str">
        <f>T("   ZZZ_Monde")</f>
        <v xml:space="preserve">   ZZZ_Monde</v>
      </c>
      <c r="C214">
        <v>3594661</v>
      </c>
      <c r="D214">
        <v>5474</v>
      </c>
    </row>
    <row r="215" spans="1:4" x14ac:dyDescent="0.25">
      <c r="A215" t="str">
        <f>T("   ES")</f>
        <v xml:space="preserve">   ES</v>
      </c>
      <c r="B215" t="str">
        <f>T("   Espagne")</f>
        <v xml:space="preserve">   Espagne</v>
      </c>
      <c r="C215">
        <v>3521193</v>
      </c>
      <c r="D215">
        <v>5250</v>
      </c>
    </row>
    <row r="216" spans="1:4" x14ac:dyDescent="0.25">
      <c r="A216" t="str">
        <f>T("   FR")</f>
        <v xml:space="preserve">   FR</v>
      </c>
      <c r="B216" t="str">
        <f>T("   France")</f>
        <v xml:space="preserve">   France</v>
      </c>
      <c r="C216">
        <v>73468</v>
      </c>
      <c r="D216">
        <v>224</v>
      </c>
    </row>
    <row r="217" spans="1:4" x14ac:dyDescent="0.25">
      <c r="A217" t="str">
        <f>T("150200")</f>
        <v>150200</v>
      </c>
      <c r="B217" t="str">
        <f>T("GRAISSES DES ANIMAUX DES ESPÈCES BOVINE, OVINE OU CAPRINE (SAUF STÉARINE SOLAIRE, HUILE DE SAINDOUX, OLÉOSTÉARINE, OLÉOMARGARINE ET HUILE DE SUIF, NON-ÉMULSIONNÉES, NI MÉLANGÉES, NI AUTREMENT PRÉPARÉES)")</f>
        <v>GRAISSES DES ANIMAUX DES ESPÈCES BOVINE, OVINE OU CAPRINE (SAUF STÉARINE SOLAIRE, HUILE DE SAINDOUX, OLÉOSTÉARINE, OLÉOMARGARINE ET HUILE DE SUIF, NON-ÉMULSIONNÉES, NI MÉLANGÉES, NI AUTREMENT PRÉPARÉES)</v>
      </c>
    </row>
    <row r="218" spans="1:4" x14ac:dyDescent="0.25">
      <c r="A218" t="str">
        <f>T("   ZZZ_Monde")</f>
        <v xml:space="preserve">   ZZZ_Monde</v>
      </c>
      <c r="B218" t="str">
        <f>T("   ZZZ_Monde")</f>
        <v xml:space="preserve">   ZZZ_Monde</v>
      </c>
      <c r="C218">
        <v>1302450</v>
      </c>
      <c r="D218">
        <v>900</v>
      </c>
    </row>
    <row r="219" spans="1:4" x14ac:dyDescent="0.25">
      <c r="A219" t="str">
        <f>T("   GQ")</f>
        <v xml:space="preserve">   GQ</v>
      </c>
      <c r="B219" t="str">
        <f>T("   Guinée Equatoriale")</f>
        <v xml:space="preserve">   Guinée Equatoriale</v>
      </c>
      <c r="C219">
        <v>1302450</v>
      </c>
      <c r="D219">
        <v>900</v>
      </c>
    </row>
    <row r="220" spans="1:4" x14ac:dyDescent="0.25">
      <c r="A220" t="str">
        <f>T("150790")</f>
        <v>150790</v>
      </c>
      <c r="B220" t="str">
        <f>T("Huile de soja et ses fractions, même raffinées, mais non chimiquement modifiées (à l'excl. de l'huile de soja brute)")</f>
        <v>Huile de soja et ses fractions, même raffinées, mais non chimiquement modifiées (à l'excl. de l'huile de soja brute)</v>
      </c>
    </row>
    <row r="221" spans="1:4" x14ac:dyDescent="0.25">
      <c r="A221" t="str">
        <f>T("   ZZZ_Monde")</f>
        <v xml:space="preserve">   ZZZ_Monde</v>
      </c>
      <c r="B221" t="str">
        <f>T("   ZZZ_Monde")</f>
        <v xml:space="preserve">   ZZZ_Monde</v>
      </c>
      <c r="C221">
        <v>491946108</v>
      </c>
      <c r="D221">
        <v>660460</v>
      </c>
    </row>
    <row r="222" spans="1:4" x14ac:dyDescent="0.25">
      <c r="A222" t="str">
        <f>T("   SN")</f>
        <v xml:space="preserve">   SN</v>
      </c>
      <c r="B222" t="str">
        <f>T("   Sénégal")</f>
        <v xml:space="preserve">   Sénégal</v>
      </c>
      <c r="C222">
        <v>491946108</v>
      </c>
      <c r="D222">
        <v>660460</v>
      </c>
    </row>
    <row r="223" spans="1:4" x14ac:dyDescent="0.25">
      <c r="A223" t="str">
        <f>T("150890")</f>
        <v>150890</v>
      </c>
      <c r="B223" t="str">
        <f>T("Huile d'arachide et ses fractions, même raffinées, mais non chimiquement modifiées (à l'excl. de l'huile d'arachide brute)")</f>
        <v>Huile d'arachide et ses fractions, même raffinées, mais non chimiquement modifiées (à l'excl. de l'huile d'arachide brute)</v>
      </c>
    </row>
    <row r="224" spans="1:4" x14ac:dyDescent="0.25">
      <c r="A224" t="str">
        <f>T("   ZZZ_Monde")</f>
        <v xml:space="preserve">   ZZZ_Monde</v>
      </c>
      <c r="B224" t="str">
        <f>T("   ZZZ_Monde")</f>
        <v xml:space="preserve">   ZZZ_Monde</v>
      </c>
      <c r="C224">
        <v>100573600</v>
      </c>
      <c r="D224">
        <v>131900</v>
      </c>
    </row>
    <row r="225" spans="1:4" x14ac:dyDescent="0.25">
      <c r="A225" t="str">
        <f>T("   NG")</f>
        <v xml:space="preserve">   NG</v>
      </c>
      <c r="B225" t="str">
        <f>T("   Nigéria")</f>
        <v xml:space="preserve">   Nigéria</v>
      </c>
      <c r="C225">
        <v>100573600</v>
      </c>
      <c r="D225">
        <v>131900</v>
      </c>
    </row>
    <row r="226" spans="1:4" x14ac:dyDescent="0.25">
      <c r="A226" t="str">
        <f>T("151110")</f>
        <v>151110</v>
      </c>
      <c r="B226" t="str">
        <f>T("Huile de palme, brute")</f>
        <v>Huile de palme, brute</v>
      </c>
    </row>
    <row r="227" spans="1:4" x14ac:dyDescent="0.25">
      <c r="A227" t="str">
        <f>T("   ZZZ_Monde")</f>
        <v xml:space="preserve">   ZZZ_Monde</v>
      </c>
      <c r="B227" t="str">
        <f>T("   ZZZ_Monde")</f>
        <v xml:space="preserve">   ZZZ_Monde</v>
      </c>
      <c r="C227">
        <v>74580519</v>
      </c>
      <c r="D227">
        <v>124400</v>
      </c>
    </row>
    <row r="228" spans="1:4" x14ac:dyDescent="0.25">
      <c r="A228" t="str">
        <f>T("   BE")</f>
        <v xml:space="preserve">   BE</v>
      </c>
      <c r="B228" t="str">
        <f>T("   Belgique")</f>
        <v xml:space="preserve">   Belgique</v>
      </c>
      <c r="C228">
        <v>51987425</v>
      </c>
      <c r="D228">
        <v>84400</v>
      </c>
    </row>
    <row r="229" spans="1:4" x14ac:dyDescent="0.25">
      <c r="A229" t="str">
        <f>T("   NL")</f>
        <v xml:space="preserve">   NL</v>
      </c>
      <c r="B229" t="str">
        <f>T("   Pays-bas")</f>
        <v xml:space="preserve">   Pays-bas</v>
      </c>
      <c r="C229">
        <v>22593094</v>
      </c>
      <c r="D229">
        <v>40000</v>
      </c>
    </row>
    <row r="230" spans="1:4" x14ac:dyDescent="0.25">
      <c r="A230" t="str">
        <f>T("151190")</f>
        <v>151190</v>
      </c>
      <c r="B230" t="str">
        <f>T("Huile de palme et ses fractions, même raffinées, mais non chimiquement modifiées (à l'excl. de l'huile de palme brute)")</f>
        <v>Huile de palme et ses fractions, même raffinées, mais non chimiquement modifiées (à l'excl. de l'huile de palme brute)</v>
      </c>
    </row>
    <row r="231" spans="1:4" x14ac:dyDescent="0.25">
      <c r="A231" t="str">
        <f>T("   ZZZ_Monde")</f>
        <v xml:space="preserve">   ZZZ_Monde</v>
      </c>
      <c r="B231" t="str">
        <f>T("   ZZZ_Monde")</f>
        <v xml:space="preserve">   ZZZ_Monde</v>
      </c>
      <c r="C231">
        <v>1260447100</v>
      </c>
      <c r="D231">
        <v>1696240</v>
      </c>
    </row>
    <row r="232" spans="1:4" x14ac:dyDescent="0.25">
      <c r="A232" t="str">
        <f>T("   NG")</f>
        <v xml:space="preserve">   NG</v>
      </c>
      <c r="B232" t="str">
        <f>T("   Nigéria")</f>
        <v xml:space="preserve">   Nigéria</v>
      </c>
      <c r="C232">
        <v>1260447100</v>
      </c>
      <c r="D232">
        <v>1696240</v>
      </c>
    </row>
    <row r="233" spans="1:4" x14ac:dyDescent="0.25">
      <c r="A233" t="str">
        <f>T("151219")</f>
        <v>151219</v>
      </c>
      <c r="B233"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234" spans="1:4" x14ac:dyDescent="0.25">
      <c r="A234" t="str">
        <f>T("   ZZZ_Monde")</f>
        <v xml:space="preserve">   ZZZ_Monde</v>
      </c>
      <c r="B234" t="str">
        <f>T("   ZZZ_Monde")</f>
        <v xml:space="preserve">   ZZZ_Monde</v>
      </c>
      <c r="C234">
        <v>1059882520</v>
      </c>
      <c r="D234">
        <v>1436670</v>
      </c>
    </row>
    <row r="235" spans="1:4" x14ac:dyDescent="0.25">
      <c r="A235" t="str">
        <f>T("   NG")</f>
        <v xml:space="preserve">   NG</v>
      </c>
      <c r="B235" t="str">
        <f>T("   Nigéria")</f>
        <v xml:space="preserve">   Nigéria</v>
      </c>
      <c r="C235">
        <v>1059882520</v>
      </c>
      <c r="D235">
        <v>1436670</v>
      </c>
    </row>
    <row r="236" spans="1:4" x14ac:dyDescent="0.25">
      <c r="A236" t="str">
        <f>T("151229")</f>
        <v>151229</v>
      </c>
      <c r="B236"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237" spans="1:4" x14ac:dyDescent="0.25">
      <c r="A237" t="str">
        <f>T("   ZZZ_Monde")</f>
        <v xml:space="preserve">   ZZZ_Monde</v>
      </c>
      <c r="B237" t="str">
        <f>T("   ZZZ_Monde")</f>
        <v xml:space="preserve">   ZZZ_Monde</v>
      </c>
      <c r="C237">
        <v>5229830104</v>
      </c>
      <c r="D237">
        <v>7096140</v>
      </c>
    </row>
    <row r="238" spans="1:4" x14ac:dyDescent="0.25">
      <c r="A238" t="str">
        <f>T("   NG")</f>
        <v xml:space="preserve">   NG</v>
      </c>
      <c r="B238" t="str">
        <f>T("   Nigéria")</f>
        <v xml:space="preserve">   Nigéria</v>
      </c>
      <c r="C238">
        <v>5015609700</v>
      </c>
      <c r="D238">
        <v>6797200</v>
      </c>
    </row>
    <row r="239" spans="1:4" x14ac:dyDescent="0.25">
      <c r="A239" t="str">
        <f>T("   SN")</f>
        <v xml:space="preserve">   SN</v>
      </c>
      <c r="B239" t="str">
        <f>T("   Sénégal")</f>
        <v xml:space="preserve">   Sénégal</v>
      </c>
      <c r="C239">
        <v>214220404</v>
      </c>
      <c r="D239">
        <v>298940</v>
      </c>
    </row>
    <row r="240" spans="1:4" x14ac:dyDescent="0.25">
      <c r="A240" t="str">
        <f>T("151590")</f>
        <v>151590</v>
      </c>
      <c r="B240"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241" spans="1:4" x14ac:dyDescent="0.25">
      <c r="A241" t="str">
        <f>T("   ZZZ_Monde")</f>
        <v xml:space="preserve">   ZZZ_Monde</v>
      </c>
      <c r="B241" t="str">
        <f>T("   ZZZ_Monde")</f>
        <v xml:space="preserve">   ZZZ_Monde</v>
      </c>
      <c r="C241">
        <v>1226276879</v>
      </c>
      <c r="D241">
        <v>2442136</v>
      </c>
    </row>
    <row r="242" spans="1:4" x14ac:dyDescent="0.25">
      <c r="A242" t="str">
        <f>T("   BE")</f>
        <v xml:space="preserve">   BE</v>
      </c>
      <c r="B242" t="str">
        <f>T("   Belgique")</f>
        <v xml:space="preserve">   Belgique</v>
      </c>
      <c r="C242">
        <v>11685767</v>
      </c>
      <c r="D242">
        <v>20231</v>
      </c>
    </row>
    <row r="243" spans="1:4" x14ac:dyDescent="0.25">
      <c r="A243" t="str">
        <f>T("   FR")</f>
        <v xml:space="preserve">   FR</v>
      </c>
      <c r="B243" t="str">
        <f>T("   France")</f>
        <v xml:space="preserve">   France</v>
      </c>
      <c r="C243">
        <v>17884771</v>
      </c>
      <c r="D243">
        <v>12704</v>
      </c>
    </row>
    <row r="244" spans="1:4" x14ac:dyDescent="0.25">
      <c r="A244" t="str">
        <f>T("   IN")</f>
        <v xml:space="preserve">   IN</v>
      </c>
      <c r="B244" t="str">
        <f>T("   Inde")</f>
        <v xml:space="preserve">   Inde</v>
      </c>
      <c r="C244">
        <v>10263820</v>
      </c>
      <c r="D244">
        <v>73313</v>
      </c>
    </row>
    <row r="245" spans="1:4" x14ac:dyDescent="0.25">
      <c r="A245" t="str">
        <f>T("   MY")</f>
        <v xml:space="preserve">   MY</v>
      </c>
      <c r="B245" t="str">
        <f>T("   Malaisie")</f>
        <v xml:space="preserve">   Malaisie</v>
      </c>
      <c r="C245">
        <v>965464164</v>
      </c>
      <c r="D245">
        <v>1962423</v>
      </c>
    </row>
    <row r="246" spans="1:4" x14ac:dyDescent="0.25">
      <c r="A246" t="str">
        <f>T("   NL")</f>
        <v xml:space="preserve">   NL</v>
      </c>
      <c r="B246" t="str">
        <f>T("   Pays-bas")</f>
        <v xml:space="preserve">   Pays-bas</v>
      </c>
      <c r="C246">
        <v>204222380</v>
      </c>
      <c r="D246">
        <v>359793</v>
      </c>
    </row>
    <row r="247" spans="1:4" x14ac:dyDescent="0.25">
      <c r="A247" t="str">
        <f>T("   US")</f>
        <v xml:space="preserve">   US</v>
      </c>
      <c r="B247" t="str">
        <f>T("   Etats-Unis")</f>
        <v xml:space="preserve">   Etats-Unis</v>
      </c>
      <c r="C247">
        <v>16755977</v>
      </c>
      <c r="D247">
        <v>13672</v>
      </c>
    </row>
    <row r="248" spans="1:4" x14ac:dyDescent="0.25">
      <c r="A248" t="str">
        <f>T("151620")</f>
        <v>151620</v>
      </c>
      <c r="B248"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249" spans="1:4" x14ac:dyDescent="0.25">
      <c r="A249" t="str">
        <f>T("   ZZZ_Monde")</f>
        <v xml:space="preserve">   ZZZ_Monde</v>
      </c>
      <c r="B249" t="str">
        <f>T("   ZZZ_Monde")</f>
        <v xml:space="preserve">   ZZZ_Monde</v>
      </c>
      <c r="C249">
        <v>194094197</v>
      </c>
      <c r="D249">
        <v>274005</v>
      </c>
    </row>
    <row r="250" spans="1:4" x14ac:dyDescent="0.25">
      <c r="A250" t="str">
        <f>T("   CN")</f>
        <v xml:space="preserve">   CN</v>
      </c>
      <c r="B250" t="str">
        <f>T("   Chine")</f>
        <v xml:space="preserve">   Chine</v>
      </c>
      <c r="C250">
        <v>500000</v>
      </c>
      <c r="D250">
        <v>10000</v>
      </c>
    </row>
    <row r="251" spans="1:4" x14ac:dyDescent="0.25">
      <c r="A251" t="str">
        <f>T("   FR")</f>
        <v xml:space="preserve">   FR</v>
      </c>
      <c r="B251" t="str">
        <f>T("   France")</f>
        <v xml:space="preserve">   France</v>
      </c>
      <c r="C251">
        <v>49197</v>
      </c>
      <c r="D251">
        <v>5</v>
      </c>
    </row>
    <row r="252" spans="1:4" x14ac:dyDescent="0.25">
      <c r="A252" t="str">
        <f>T("   NG")</f>
        <v xml:space="preserve">   NG</v>
      </c>
      <c r="B252" t="str">
        <f>T("   Nigéria")</f>
        <v xml:space="preserve">   Nigéria</v>
      </c>
      <c r="C252">
        <v>193545000</v>
      </c>
      <c r="D252">
        <v>264000</v>
      </c>
    </row>
    <row r="253" spans="1:4" x14ac:dyDescent="0.25">
      <c r="A253" t="str">
        <f>T("170111")</f>
        <v>170111</v>
      </c>
      <c r="B253" t="str">
        <f>T("Sucres de canne, bruts, sans addition d'aromatisants ou de colorants")</f>
        <v>Sucres de canne, bruts, sans addition d'aromatisants ou de colorants</v>
      </c>
    </row>
    <row r="254" spans="1:4" x14ac:dyDescent="0.25">
      <c r="A254" t="str">
        <f>T("   ZZZ_Monde")</f>
        <v xml:space="preserve">   ZZZ_Monde</v>
      </c>
      <c r="B254" t="str">
        <f>T("   ZZZ_Monde")</f>
        <v xml:space="preserve">   ZZZ_Monde</v>
      </c>
      <c r="C254">
        <v>3858995000</v>
      </c>
      <c r="D254">
        <v>10400000</v>
      </c>
    </row>
    <row r="255" spans="1:4" x14ac:dyDescent="0.25">
      <c r="A255" t="str">
        <f>T("   NE")</f>
        <v xml:space="preserve">   NE</v>
      </c>
      <c r="B255" t="str">
        <f>T("   Niger")</f>
        <v xml:space="preserve">   Niger</v>
      </c>
      <c r="C255">
        <v>168000000</v>
      </c>
      <c r="D255">
        <v>400000</v>
      </c>
    </row>
    <row r="256" spans="1:4" x14ac:dyDescent="0.25">
      <c r="A256" t="str">
        <f>T("   PT")</f>
        <v xml:space="preserve">   PT</v>
      </c>
      <c r="B256" t="str">
        <f>T("   Portugal")</f>
        <v xml:space="preserve">   Portugal</v>
      </c>
      <c r="C256">
        <v>3690995000</v>
      </c>
      <c r="D256">
        <v>10000000</v>
      </c>
    </row>
    <row r="257" spans="1:4" x14ac:dyDescent="0.25">
      <c r="A257" t="str">
        <f>T("170199")</f>
        <v>170199</v>
      </c>
      <c r="B257"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258" spans="1:4" x14ac:dyDescent="0.25">
      <c r="A258" t="str">
        <f>T("   ZZZ_Monde")</f>
        <v xml:space="preserve">   ZZZ_Monde</v>
      </c>
      <c r="B258" t="str">
        <f>T("   ZZZ_Monde")</f>
        <v xml:space="preserve">   ZZZ_Monde</v>
      </c>
      <c r="C258">
        <v>1768801500</v>
      </c>
      <c r="D258">
        <v>5000000</v>
      </c>
    </row>
    <row r="259" spans="1:4" x14ac:dyDescent="0.25">
      <c r="A259" t="str">
        <f>T("   FI")</f>
        <v xml:space="preserve">   FI</v>
      </c>
      <c r="B259" t="str">
        <f>T("   Finlande")</f>
        <v xml:space="preserve">   Finlande</v>
      </c>
      <c r="C259">
        <v>1768801500</v>
      </c>
      <c r="D259">
        <v>5000000</v>
      </c>
    </row>
    <row r="260" spans="1:4" x14ac:dyDescent="0.25">
      <c r="A260" t="str">
        <f>T("170490")</f>
        <v>170490</v>
      </c>
      <c r="B260" t="str">
        <f>T("Sucreries sans cacao, y.c. le chocolat blanc (à l'excl. des gommes à mâcher)")</f>
        <v>Sucreries sans cacao, y.c. le chocolat blanc (à l'excl. des gommes à mâcher)</v>
      </c>
    </row>
    <row r="261" spans="1:4" x14ac:dyDescent="0.25">
      <c r="A261" t="str">
        <f>T("   ZZZ_Monde")</f>
        <v xml:space="preserve">   ZZZ_Monde</v>
      </c>
      <c r="B261" t="str">
        <f>T("   ZZZ_Monde")</f>
        <v xml:space="preserve">   ZZZ_Monde</v>
      </c>
      <c r="C261">
        <v>240000</v>
      </c>
      <c r="D261">
        <v>420</v>
      </c>
    </row>
    <row r="262" spans="1:4" x14ac:dyDescent="0.25">
      <c r="A262" t="str">
        <f>T("   TG")</f>
        <v xml:space="preserve">   TG</v>
      </c>
      <c r="B262" t="str">
        <f>T("   Togo")</f>
        <v xml:space="preserve">   Togo</v>
      </c>
      <c r="C262">
        <v>240000</v>
      </c>
      <c r="D262">
        <v>420</v>
      </c>
    </row>
    <row r="263" spans="1:4" x14ac:dyDescent="0.25">
      <c r="A263" t="str">
        <f>T("180400")</f>
        <v>180400</v>
      </c>
      <c r="B263" t="str">
        <f>T("Beurre, graisse et huile de cacao")</f>
        <v>Beurre, graisse et huile de cacao</v>
      </c>
    </row>
    <row r="264" spans="1:4" x14ac:dyDescent="0.25">
      <c r="A264" t="str">
        <f>T("   ZZZ_Monde")</f>
        <v xml:space="preserve">   ZZZ_Monde</v>
      </c>
      <c r="B264" t="str">
        <f>T("   ZZZ_Monde")</f>
        <v xml:space="preserve">   ZZZ_Monde</v>
      </c>
      <c r="C264">
        <v>339560</v>
      </c>
      <c r="D264">
        <v>720</v>
      </c>
    </row>
    <row r="265" spans="1:4" x14ac:dyDescent="0.25">
      <c r="A265" t="str">
        <f>T("   CH")</f>
        <v xml:space="preserve">   CH</v>
      </c>
      <c r="B265" t="str">
        <f>T("   Suisse")</f>
        <v xml:space="preserve">   Suisse</v>
      </c>
      <c r="C265">
        <v>339560</v>
      </c>
      <c r="D265">
        <v>720</v>
      </c>
    </row>
    <row r="266" spans="1:4" x14ac:dyDescent="0.25">
      <c r="A266" t="str">
        <f>T("190230")</f>
        <v>190230</v>
      </c>
      <c r="B266" t="str">
        <f>T("Pâtes alimentaires, cuites ou autrement préparées (à l'excl. des pâtes alimentaires farcies)")</f>
        <v>Pâtes alimentaires, cuites ou autrement préparées (à l'excl. des pâtes alimentaires farcies)</v>
      </c>
    </row>
    <row r="267" spans="1:4" x14ac:dyDescent="0.25">
      <c r="A267" t="str">
        <f>T("   ZZZ_Monde")</f>
        <v xml:space="preserve">   ZZZ_Monde</v>
      </c>
      <c r="B267" t="str">
        <f>T("   ZZZ_Monde")</f>
        <v xml:space="preserve">   ZZZ_Monde</v>
      </c>
      <c r="C267">
        <v>3524418650</v>
      </c>
      <c r="D267">
        <v>8494330</v>
      </c>
    </row>
    <row r="268" spans="1:4" x14ac:dyDescent="0.25">
      <c r="A268" t="str">
        <f>T("   AO")</f>
        <v xml:space="preserve">   AO</v>
      </c>
      <c r="B268" t="str">
        <f>T("   Angola")</f>
        <v xml:space="preserve">   Angola</v>
      </c>
      <c r="C268">
        <v>23583000</v>
      </c>
      <c r="D268">
        <v>46700</v>
      </c>
    </row>
    <row r="269" spans="1:4" x14ac:dyDescent="0.25">
      <c r="A269" t="str">
        <f>T("   BF")</f>
        <v xml:space="preserve">   BF</v>
      </c>
      <c r="B269" t="str">
        <f>T("   Burkina Faso")</f>
        <v xml:space="preserve">   Burkina Faso</v>
      </c>
      <c r="C269">
        <v>46200000</v>
      </c>
      <c r="D269">
        <v>120000</v>
      </c>
    </row>
    <row r="270" spans="1:4" x14ac:dyDescent="0.25">
      <c r="A270" t="str">
        <f>T("   FR")</f>
        <v xml:space="preserve">   FR</v>
      </c>
      <c r="B270" t="str">
        <f>T("   France")</f>
        <v xml:space="preserve">   France</v>
      </c>
      <c r="C270">
        <v>338075000</v>
      </c>
      <c r="D270">
        <v>750470</v>
      </c>
    </row>
    <row r="271" spans="1:4" x14ac:dyDescent="0.25">
      <c r="A271" t="str">
        <f>T("   GQ")</f>
        <v xml:space="preserve">   GQ</v>
      </c>
      <c r="B271" t="str">
        <f>T("   Guinée Equatoriale")</f>
        <v xml:space="preserve">   Guinée Equatoriale</v>
      </c>
      <c r="C271">
        <v>8400000</v>
      </c>
      <c r="D271">
        <v>16000</v>
      </c>
    </row>
    <row r="272" spans="1:4" x14ac:dyDescent="0.25">
      <c r="A272" t="str">
        <f>T("   NE")</f>
        <v xml:space="preserve">   NE</v>
      </c>
      <c r="B272" t="str">
        <f>T("   Niger")</f>
        <v xml:space="preserve">   Niger</v>
      </c>
      <c r="C272">
        <v>590300750</v>
      </c>
      <c r="D272">
        <v>1895430</v>
      </c>
    </row>
    <row r="273" spans="1:4" x14ac:dyDescent="0.25">
      <c r="A273" t="str">
        <f>T("   NG")</f>
        <v xml:space="preserve">   NG</v>
      </c>
      <c r="B273" t="str">
        <f>T("   Nigéria")</f>
        <v xml:space="preserve">   Nigéria</v>
      </c>
      <c r="C273">
        <v>2041257700</v>
      </c>
      <c r="D273">
        <v>4556950</v>
      </c>
    </row>
    <row r="274" spans="1:4" x14ac:dyDescent="0.25">
      <c r="A274" t="str">
        <f>T("   TG")</f>
        <v xml:space="preserve">   TG</v>
      </c>
      <c r="B274" t="str">
        <f>T("   Togo")</f>
        <v xml:space="preserve">   Togo</v>
      </c>
      <c r="C274">
        <v>476602200</v>
      </c>
      <c r="D274">
        <v>1108780</v>
      </c>
    </row>
    <row r="275" spans="1:4" x14ac:dyDescent="0.25">
      <c r="A275" t="str">
        <f>T("190410")</f>
        <v>190410</v>
      </c>
      <c r="B275" t="str">
        <f>T("PRODUITS À BASE DE CÉRÉALES OBTENUS PAR SOUFFLAGE OU GRILLAGE [CORN FLAKES, P.EX.]")</f>
        <v>PRODUITS À BASE DE CÉRÉALES OBTENUS PAR SOUFFLAGE OU GRILLAGE [CORN FLAKES, P.EX.]</v>
      </c>
    </row>
    <row r="276" spans="1:4" x14ac:dyDescent="0.25">
      <c r="A276" t="str">
        <f>T("   ZZZ_Monde")</f>
        <v xml:space="preserve">   ZZZ_Monde</v>
      </c>
      <c r="B276" t="str">
        <f>T("   ZZZ_Monde")</f>
        <v xml:space="preserve">   ZZZ_Monde</v>
      </c>
      <c r="C276">
        <v>715000</v>
      </c>
      <c r="D276">
        <v>700</v>
      </c>
    </row>
    <row r="277" spans="1:4" x14ac:dyDescent="0.25">
      <c r="A277" t="str">
        <f>T("   TG")</f>
        <v xml:space="preserve">   TG</v>
      </c>
      <c r="B277" t="str">
        <f>T("   Togo")</f>
        <v xml:space="preserve">   Togo</v>
      </c>
      <c r="C277">
        <v>715000</v>
      </c>
      <c r="D277">
        <v>700</v>
      </c>
    </row>
    <row r="278" spans="1:4" x14ac:dyDescent="0.25">
      <c r="A278" t="str">
        <f>T("190590")</f>
        <v>190590</v>
      </c>
      <c r="B278"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279" spans="1:4" x14ac:dyDescent="0.25">
      <c r="A279" t="str">
        <f>T("   ZZZ_Monde")</f>
        <v xml:space="preserve">   ZZZ_Monde</v>
      </c>
      <c r="B279" t="str">
        <f>T("   ZZZ_Monde")</f>
        <v xml:space="preserve">   ZZZ_Monde</v>
      </c>
      <c r="C279">
        <v>119295000</v>
      </c>
      <c r="D279">
        <v>968500</v>
      </c>
    </row>
    <row r="280" spans="1:4" x14ac:dyDescent="0.25">
      <c r="A280" t="str">
        <f>T("   BF")</f>
        <v xml:space="preserve">   BF</v>
      </c>
      <c r="B280" t="str">
        <f>T("   Burkina Faso")</f>
        <v xml:space="preserve">   Burkina Faso</v>
      </c>
      <c r="C280">
        <v>20000000</v>
      </c>
      <c r="D280">
        <v>40000</v>
      </c>
    </row>
    <row r="281" spans="1:4" x14ac:dyDescent="0.25">
      <c r="A281" t="str">
        <f>T("   NE")</f>
        <v xml:space="preserve">   NE</v>
      </c>
      <c r="B281" t="str">
        <f>T("   Niger")</f>
        <v xml:space="preserve">   Niger</v>
      </c>
      <c r="C281">
        <v>92000000</v>
      </c>
      <c r="D281">
        <v>920000</v>
      </c>
    </row>
    <row r="282" spans="1:4" x14ac:dyDescent="0.25">
      <c r="A282" t="str">
        <f>T("   TG")</f>
        <v xml:space="preserve">   TG</v>
      </c>
      <c r="B282" t="str">
        <f>T("   Togo")</f>
        <v xml:space="preserve">   Togo</v>
      </c>
      <c r="C282">
        <v>7295000</v>
      </c>
      <c r="D282">
        <v>8500</v>
      </c>
    </row>
    <row r="283" spans="1:4" x14ac:dyDescent="0.25">
      <c r="A283" t="str">
        <f>T("200600")</f>
        <v>200600</v>
      </c>
      <c r="B283" t="str">
        <f>T("Légumes, fruits, écorces de fruits et autres parties de plantes, confits au sucre [égouttés, glacés ou cristallisés]")</f>
        <v>Légumes, fruits, écorces de fruits et autres parties de plantes, confits au sucre [égouttés, glacés ou cristallisés]</v>
      </c>
    </row>
    <row r="284" spans="1:4" x14ac:dyDescent="0.25">
      <c r="A284" t="str">
        <f>T("   ZZZ_Monde")</f>
        <v xml:space="preserve">   ZZZ_Monde</v>
      </c>
      <c r="B284" t="str">
        <f>T("   ZZZ_Monde")</f>
        <v xml:space="preserve">   ZZZ_Monde</v>
      </c>
      <c r="C284">
        <v>275000</v>
      </c>
      <c r="D284">
        <v>4330</v>
      </c>
    </row>
    <row r="285" spans="1:4" x14ac:dyDescent="0.25">
      <c r="A285" t="str">
        <f>T("   GA")</f>
        <v xml:space="preserve">   GA</v>
      </c>
      <c r="B285" t="str">
        <f>T("   Gabon")</f>
        <v xml:space="preserve">   Gabon</v>
      </c>
      <c r="C285">
        <v>275000</v>
      </c>
      <c r="D285">
        <v>4330</v>
      </c>
    </row>
    <row r="286" spans="1:4" x14ac:dyDescent="0.25">
      <c r="A286" t="str">
        <f>T("200941")</f>
        <v>200941</v>
      </c>
      <c r="B286"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287" spans="1:4" x14ac:dyDescent="0.25">
      <c r="A287" t="str">
        <f>T("   ZZZ_Monde")</f>
        <v xml:space="preserve">   ZZZ_Monde</v>
      </c>
      <c r="B287" t="str">
        <f>T("   ZZZ_Monde")</f>
        <v xml:space="preserve">   ZZZ_Monde</v>
      </c>
      <c r="C287">
        <v>51939700</v>
      </c>
      <c r="D287">
        <v>210380</v>
      </c>
    </row>
    <row r="288" spans="1:4" x14ac:dyDescent="0.25">
      <c r="A288" t="str">
        <f>T("   BF")</f>
        <v xml:space="preserve">   BF</v>
      </c>
      <c r="B288" t="str">
        <f>T("   Burkina Faso")</f>
        <v xml:space="preserve">   Burkina Faso</v>
      </c>
      <c r="C288">
        <v>15655900</v>
      </c>
      <c r="D288">
        <v>58500</v>
      </c>
    </row>
    <row r="289" spans="1:4" x14ac:dyDescent="0.25">
      <c r="A289" t="str">
        <f>T("   ML")</f>
        <v xml:space="preserve">   ML</v>
      </c>
      <c r="B289" t="str">
        <f>T("   Mali")</f>
        <v xml:space="preserve">   Mali</v>
      </c>
      <c r="C289">
        <v>5925000</v>
      </c>
      <c r="D289">
        <v>27000</v>
      </c>
    </row>
    <row r="290" spans="1:4" x14ac:dyDescent="0.25">
      <c r="A290" t="str">
        <f>T("   NE")</f>
        <v xml:space="preserve">   NE</v>
      </c>
      <c r="B290" t="str">
        <f>T("   Niger")</f>
        <v xml:space="preserve">   Niger</v>
      </c>
      <c r="C290">
        <v>13925000</v>
      </c>
      <c r="D290">
        <v>56500</v>
      </c>
    </row>
    <row r="291" spans="1:4" x14ac:dyDescent="0.25">
      <c r="A291" t="str">
        <f>T("   NG")</f>
        <v xml:space="preserve">   NG</v>
      </c>
      <c r="B291" t="str">
        <f>T("   Nigéria")</f>
        <v xml:space="preserve">   Nigéria</v>
      </c>
      <c r="C291">
        <v>1380000</v>
      </c>
      <c r="D291">
        <v>6500</v>
      </c>
    </row>
    <row r="292" spans="1:4" x14ac:dyDescent="0.25">
      <c r="A292" t="str">
        <f>T("   SN")</f>
        <v xml:space="preserve">   SN</v>
      </c>
      <c r="B292" t="str">
        <f>T("   Sénégal")</f>
        <v xml:space="preserve">   Sénégal</v>
      </c>
      <c r="C292">
        <v>15053800</v>
      </c>
      <c r="D292">
        <v>61880</v>
      </c>
    </row>
    <row r="293" spans="1:4" x14ac:dyDescent="0.25">
      <c r="A293" t="str">
        <f>T("200949")</f>
        <v>200949</v>
      </c>
      <c r="B293"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294" spans="1:4" x14ac:dyDescent="0.25">
      <c r="A294" t="str">
        <f>T("   ZZZ_Monde")</f>
        <v xml:space="preserve">   ZZZ_Monde</v>
      </c>
      <c r="B294" t="str">
        <f>T("   ZZZ_Monde")</f>
        <v xml:space="preserve">   ZZZ_Monde</v>
      </c>
      <c r="C294">
        <v>32262500</v>
      </c>
      <c r="D294">
        <v>235216</v>
      </c>
    </row>
    <row r="295" spans="1:4" x14ac:dyDescent="0.25">
      <c r="A295" t="str">
        <f>T("   BF")</f>
        <v xml:space="preserve">   BF</v>
      </c>
      <c r="B295" t="str">
        <f>T("   Burkina Faso")</f>
        <v xml:space="preserve">   Burkina Faso</v>
      </c>
      <c r="C295">
        <v>15955000</v>
      </c>
      <c r="D295">
        <v>171200</v>
      </c>
    </row>
    <row r="296" spans="1:4" x14ac:dyDescent="0.25">
      <c r="A296" t="str">
        <f>T("   ML")</f>
        <v xml:space="preserve">   ML</v>
      </c>
      <c r="B296" t="str">
        <f>T("   Mali")</f>
        <v xml:space="preserve">   Mali</v>
      </c>
      <c r="C296">
        <v>12407500</v>
      </c>
      <c r="D296">
        <v>55016</v>
      </c>
    </row>
    <row r="297" spans="1:4" x14ac:dyDescent="0.25">
      <c r="A297" t="str">
        <f>T("   NE")</f>
        <v xml:space="preserve">   NE</v>
      </c>
      <c r="B297" t="str">
        <f>T("   Niger")</f>
        <v xml:space="preserve">   Niger</v>
      </c>
      <c r="C297">
        <v>3900000</v>
      </c>
      <c r="D297">
        <v>9000</v>
      </c>
    </row>
    <row r="298" spans="1:4" x14ac:dyDescent="0.25">
      <c r="A298" t="str">
        <f>T("200980")</f>
        <v>200980</v>
      </c>
      <c r="B298"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299" spans="1:4" x14ac:dyDescent="0.25">
      <c r="A299" t="str">
        <f>T("   ZZZ_Monde")</f>
        <v xml:space="preserve">   ZZZ_Monde</v>
      </c>
      <c r="B299" t="str">
        <f>T("   ZZZ_Monde")</f>
        <v xml:space="preserve">   ZZZ_Monde</v>
      </c>
      <c r="C299">
        <v>20567500</v>
      </c>
      <c r="D299">
        <v>83686</v>
      </c>
    </row>
    <row r="300" spans="1:4" x14ac:dyDescent="0.25">
      <c r="A300" t="str">
        <f>T("   LY")</f>
        <v xml:space="preserve">   LY</v>
      </c>
      <c r="B300" t="str">
        <f>T("   Libyenne, Jamahiriya Arabe")</f>
        <v xml:space="preserve">   Libyenne, Jamahiriya Arabe</v>
      </c>
      <c r="C300">
        <v>13967500</v>
      </c>
      <c r="D300">
        <v>50686</v>
      </c>
    </row>
    <row r="301" spans="1:4" x14ac:dyDescent="0.25">
      <c r="A301" t="str">
        <f>T("   MA")</f>
        <v xml:space="preserve">   MA</v>
      </c>
      <c r="B301" t="str">
        <f>T("   Maroc")</f>
        <v xml:space="preserve">   Maroc</v>
      </c>
      <c r="C301">
        <v>6600000</v>
      </c>
      <c r="D301">
        <v>33000</v>
      </c>
    </row>
    <row r="302" spans="1:4" x14ac:dyDescent="0.25">
      <c r="A302" t="str">
        <f>T("200990")</f>
        <v>200990</v>
      </c>
      <c r="B302" t="str">
        <f>T("MÉLANGES DE JUS DE FRUITS - Y.C. LES MOÛTS DE RAISIN - ET DE JUS DE LÉGUMES, NON-FERMENTÉS, SANS ADDITION D'ALCOOL, AVEC OU SANS ADDITION DE SUCRE OU D'AUTRES ÉDULCORANTS")</f>
        <v>MÉLANGES DE JUS DE FRUITS - Y.C. LES MOÛTS DE RAISIN - ET DE JUS DE LÉGUMES, NON-FERMENTÉS, SANS ADDITION D'ALCOOL, AVEC OU SANS ADDITION DE SUCRE OU D'AUTRES ÉDULCORANTS</v>
      </c>
    </row>
    <row r="303" spans="1:4" x14ac:dyDescent="0.25">
      <c r="A303" t="str">
        <f>T("   ZZZ_Monde")</f>
        <v xml:space="preserve">   ZZZ_Monde</v>
      </c>
      <c r="B303" t="str">
        <f>T("   ZZZ_Monde")</f>
        <v xml:space="preserve">   ZZZ_Monde</v>
      </c>
      <c r="C303">
        <v>5511000</v>
      </c>
      <c r="D303">
        <v>18900</v>
      </c>
    </row>
    <row r="304" spans="1:4" x14ac:dyDescent="0.25">
      <c r="A304" t="str">
        <f>T("   GQ")</f>
        <v xml:space="preserve">   GQ</v>
      </c>
      <c r="B304" t="str">
        <f>T("   Guinée Equatoriale")</f>
        <v xml:space="preserve">   Guinée Equatoriale</v>
      </c>
      <c r="C304">
        <v>5511000</v>
      </c>
      <c r="D304">
        <v>18900</v>
      </c>
    </row>
    <row r="305" spans="1:4" x14ac:dyDescent="0.25">
      <c r="A305" t="str">
        <f>T("210230")</f>
        <v>210230</v>
      </c>
      <c r="B305" t="str">
        <f>T("Poudres à lever préparées")</f>
        <v>Poudres à lever préparées</v>
      </c>
    </row>
    <row r="306" spans="1:4" x14ac:dyDescent="0.25">
      <c r="A306" t="str">
        <f>T("   ZZZ_Monde")</f>
        <v xml:space="preserve">   ZZZ_Monde</v>
      </c>
      <c r="B306" t="str">
        <f>T("   ZZZ_Monde")</f>
        <v xml:space="preserve">   ZZZ_Monde</v>
      </c>
      <c r="C306">
        <v>80000</v>
      </c>
      <c r="D306">
        <v>15</v>
      </c>
    </row>
    <row r="307" spans="1:4" x14ac:dyDescent="0.25">
      <c r="A307" t="str">
        <f>T("   TG")</f>
        <v xml:space="preserve">   TG</v>
      </c>
      <c r="B307" t="str">
        <f>T("   Togo")</f>
        <v xml:space="preserve">   Togo</v>
      </c>
      <c r="C307">
        <v>80000</v>
      </c>
      <c r="D307">
        <v>15</v>
      </c>
    </row>
    <row r="308" spans="1:4" x14ac:dyDescent="0.25">
      <c r="A308" t="str">
        <f>T("210690")</f>
        <v>210690</v>
      </c>
      <c r="B308" t="str">
        <f>T("Préparations alimentaires, n.d.a.")</f>
        <v>Préparations alimentaires, n.d.a.</v>
      </c>
    </row>
    <row r="309" spans="1:4" x14ac:dyDescent="0.25">
      <c r="A309" t="str">
        <f>T("   ZZZ_Monde")</f>
        <v xml:space="preserve">   ZZZ_Monde</v>
      </c>
      <c r="B309" t="str">
        <f>T("   ZZZ_Monde")</f>
        <v xml:space="preserve">   ZZZ_Monde</v>
      </c>
      <c r="C309">
        <v>78024625</v>
      </c>
      <c r="D309">
        <v>12052</v>
      </c>
    </row>
    <row r="310" spans="1:4" x14ac:dyDescent="0.25">
      <c r="A310" t="str">
        <f>T("   CI")</f>
        <v xml:space="preserve">   CI</v>
      </c>
      <c r="B310" t="str">
        <f>T("   Côte d'Ivoire")</f>
        <v xml:space="preserve">   Côte d'Ivoire</v>
      </c>
      <c r="C310">
        <v>72902682</v>
      </c>
      <c r="D310">
        <v>2889</v>
      </c>
    </row>
    <row r="311" spans="1:4" x14ac:dyDescent="0.25">
      <c r="A311" t="str">
        <f>T("   LY")</f>
        <v xml:space="preserve">   LY</v>
      </c>
      <c r="B311" t="str">
        <f>T("   Libyenne, Jamahiriya Arabe")</f>
        <v xml:space="preserve">   Libyenne, Jamahiriya Arabe</v>
      </c>
      <c r="C311">
        <v>600000</v>
      </c>
      <c r="D311">
        <v>7140</v>
      </c>
    </row>
    <row r="312" spans="1:4" x14ac:dyDescent="0.25">
      <c r="A312" t="str">
        <f>T("   ML")</f>
        <v xml:space="preserve">   ML</v>
      </c>
      <c r="B312" t="str">
        <f>T("   Mali")</f>
        <v xml:space="preserve">   Mali</v>
      </c>
      <c r="C312">
        <v>4521943</v>
      </c>
      <c r="D312">
        <v>2023</v>
      </c>
    </row>
    <row r="313" spans="1:4" x14ac:dyDescent="0.25">
      <c r="A313" t="str">
        <f>T("220110")</f>
        <v>220110</v>
      </c>
      <c r="B313" t="str">
        <f>T("Eaux minérales et eaux gazéifiées, non additionnées de sucre ou d'autres édulcorants ni aromatisées")</f>
        <v>Eaux minérales et eaux gazéifiées, non additionnées de sucre ou d'autres édulcorants ni aromatisées</v>
      </c>
    </row>
    <row r="314" spans="1:4" x14ac:dyDescent="0.25">
      <c r="A314" t="str">
        <f>T("   ZZZ_Monde")</f>
        <v xml:space="preserve">   ZZZ_Monde</v>
      </c>
      <c r="B314" t="str">
        <f>T("   ZZZ_Monde")</f>
        <v xml:space="preserve">   ZZZ_Monde</v>
      </c>
      <c r="C314">
        <v>52150728</v>
      </c>
      <c r="D314">
        <v>260120</v>
      </c>
    </row>
    <row r="315" spans="1:4" x14ac:dyDescent="0.25">
      <c r="A315" t="str">
        <f>T("   GH")</f>
        <v xml:space="preserve">   GH</v>
      </c>
      <c r="B315" t="str">
        <f>T("   Ghana")</f>
        <v xml:space="preserve">   Ghana</v>
      </c>
      <c r="C315">
        <v>20459903</v>
      </c>
      <c r="D315">
        <v>89862</v>
      </c>
    </row>
    <row r="316" spans="1:4" x14ac:dyDescent="0.25">
      <c r="A316" t="str">
        <f>T("   TG")</f>
        <v xml:space="preserve">   TG</v>
      </c>
      <c r="B316" t="str">
        <f>T("   Togo")</f>
        <v xml:space="preserve">   Togo</v>
      </c>
      <c r="C316">
        <v>31690825</v>
      </c>
      <c r="D316">
        <v>170258</v>
      </c>
    </row>
    <row r="317" spans="1:4" x14ac:dyDescent="0.25">
      <c r="A317" t="str">
        <f>T("220210")</f>
        <v>220210</v>
      </c>
      <c r="B317"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318" spans="1:4" x14ac:dyDescent="0.25">
      <c r="A318" t="str">
        <f>T("   ZZZ_Monde")</f>
        <v xml:space="preserve">   ZZZ_Monde</v>
      </c>
      <c r="B318" t="str">
        <f>T("   ZZZ_Monde")</f>
        <v xml:space="preserve">   ZZZ_Monde</v>
      </c>
      <c r="C318">
        <v>35407772</v>
      </c>
      <c r="D318">
        <v>91981</v>
      </c>
    </row>
    <row r="319" spans="1:4" x14ac:dyDescent="0.25">
      <c r="A319" t="str">
        <f>T("   GH")</f>
        <v xml:space="preserve">   GH</v>
      </c>
      <c r="B319" t="str">
        <f>T("   Ghana")</f>
        <v xml:space="preserve">   Ghana</v>
      </c>
      <c r="C319">
        <v>13308917</v>
      </c>
      <c r="D319">
        <v>33868</v>
      </c>
    </row>
    <row r="320" spans="1:4" x14ac:dyDescent="0.25">
      <c r="A320" t="str">
        <f>T("   TG")</f>
        <v xml:space="preserve">   TG</v>
      </c>
      <c r="B320" t="str">
        <f>T("   Togo")</f>
        <v xml:space="preserve">   Togo</v>
      </c>
      <c r="C320">
        <v>22098855</v>
      </c>
      <c r="D320">
        <v>58113</v>
      </c>
    </row>
    <row r="321" spans="1:4" x14ac:dyDescent="0.25">
      <c r="A321" t="str">
        <f>T("220290")</f>
        <v>220290</v>
      </c>
      <c r="B321" t="str">
        <f>T("BOISSONS NON-ALCOOLIQUES (À L'EXCL. DES EAUX, DES JUS DE FRUITS OU DE LÉGUMES AINSI QUE DU LAIT)")</f>
        <v>BOISSONS NON-ALCOOLIQUES (À L'EXCL. DES EAUX, DES JUS DE FRUITS OU DE LÉGUMES AINSI QUE DU LAIT)</v>
      </c>
    </row>
    <row r="322" spans="1:4" x14ac:dyDescent="0.25">
      <c r="A322" t="str">
        <f>T("   ZZZ_Monde")</f>
        <v xml:space="preserve">   ZZZ_Monde</v>
      </c>
      <c r="B322" t="str">
        <f>T("   ZZZ_Monde")</f>
        <v xml:space="preserve">   ZZZ_Monde</v>
      </c>
      <c r="C322">
        <v>9450000</v>
      </c>
      <c r="D322">
        <v>20000</v>
      </c>
    </row>
    <row r="323" spans="1:4" x14ac:dyDescent="0.25">
      <c r="A323" t="str">
        <f>T("   BF")</f>
        <v xml:space="preserve">   BF</v>
      </c>
      <c r="B323" t="str">
        <f>T("   Burkina Faso")</f>
        <v xml:space="preserve">   Burkina Faso</v>
      </c>
      <c r="C323">
        <v>9450000</v>
      </c>
      <c r="D323">
        <v>20000</v>
      </c>
    </row>
    <row r="324" spans="1:4" x14ac:dyDescent="0.25">
      <c r="A324" t="str">
        <f>T("220600")</f>
        <v>220600</v>
      </c>
      <c r="B324"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325" spans="1:4" x14ac:dyDescent="0.25">
      <c r="A325" t="str">
        <f>T("   ZZZ_Monde")</f>
        <v xml:space="preserve">   ZZZ_Monde</v>
      </c>
      <c r="B325" t="str">
        <f>T("   ZZZ_Monde")</f>
        <v xml:space="preserve">   ZZZ_Monde</v>
      </c>
      <c r="C325">
        <v>560000</v>
      </c>
      <c r="D325">
        <v>29150</v>
      </c>
    </row>
    <row r="326" spans="1:4" x14ac:dyDescent="0.25">
      <c r="A326" t="str">
        <f>T("   GA")</f>
        <v xml:space="preserve">   GA</v>
      </c>
      <c r="B326" t="str">
        <f>T("   Gabon")</f>
        <v xml:space="preserve">   Gabon</v>
      </c>
      <c r="C326">
        <v>560000</v>
      </c>
      <c r="D326">
        <v>29150</v>
      </c>
    </row>
    <row r="327" spans="1:4" x14ac:dyDescent="0.25">
      <c r="A327" t="str">
        <f>T("220890")</f>
        <v>220890</v>
      </c>
      <c r="B327"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328" spans="1:4" x14ac:dyDescent="0.25">
      <c r="A328" t="str">
        <f>T("   ZZZ_Monde")</f>
        <v xml:space="preserve">   ZZZ_Monde</v>
      </c>
      <c r="B328" t="str">
        <f>T("   ZZZ_Monde")</f>
        <v xml:space="preserve">   ZZZ_Monde</v>
      </c>
      <c r="C328">
        <v>2400000</v>
      </c>
      <c r="D328">
        <v>10000</v>
      </c>
    </row>
    <row r="329" spans="1:4" x14ac:dyDescent="0.25">
      <c r="A329" t="str">
        <f>T("   CG")</f>
        <v xml:space="preserve">   CG</v>
      </c>
      <c r="B329" t="str">
        <f>T("   Congo (Brazzaville)")</f>
        <v xml:space="preserve">   Congo (Brazzaville)</v>
      </c>
      <c r="C329">
        <v>2400000</v>
      </c>
      <c r="D329">
        <v>10000</v>
      </c>
    </row>
    <row r="330" spans="1:4" x14ac:dyDescent="0.25">
      <c r="A330" t="str">
        <f>T("230230")</f>
        <v>230230</v>
      </c>
      <c r="B330"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331" spans="1:4" x14ac:dyDescent="0.25">
      <c r="A331" t="str">
        <f>T("   ZZZ_Monde")</f>
        <v xml:space="preserve">   ZZZ_Monde</v>
      </c>
      <c r="B331" t="str">
        <f>T("   ZZZ_Monde")</f>
        <v xml:space="preserve">   ZZZ_Monde</v>
      </c>
      <c r="C331">
        <v>417360000</v>
      </c>
      <c r="D331">
        <v>5657000</v>
      </c>
    </row>
    <row r="332" spans="1:4" x14ac:dyDescent="0.25">
      <c r="A332" t="str">
        <f>T("   NE")</f>
        <v xml:space="preserve">   NE</v>
      </c>
      <c r="B332" t="str">
        <f>T("   Niger")</f>
        <v xml:space="preserve">   Niger</v>
      </c>
      <c r="C332">
        <v>417360000</v>
      </c>
      <c r="D332">
        <v>5657000</v>
      </c>
    </row>
    <row r="333" spans="1:4" x14ac:dyDescent="0.25">
      <c r="A333" t="str">
        <f>T("230240")</f>
        <v>230240</v>
      </c>
      <c r="B333"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334" spans="1:4" x14ac:dyDescent="0.25">
      <c r="A334" t="str">
        <f>T("   ZZZ_Monde")</f>
        <v xml:space="preserve">   ZZZ_Monde</v>
      </c>
      <c r="B334" t="str">
        <f>T("   ZZZ_Monde")</f>
        <v xml:space="preserve">   ZZZ_Monde</v>
      </c>
      <c r="C334">
        <v>640000</v>
      </c>
      <c r="D334">
        <v>25500</v>
      </c>
    </row>
    <row r="335" spans="1:4" x14ac:dyDescent="0.25">
      <c r="A335" t="str">
        <f>T("   GA")</f>
        <v xml:space="preserve">   GA</v>
      </c>
      <c r="B335" t="str">
        <f>T("   Gabon")</f>
        <v xml:space="preserve">   Gabon</v>
      </c>
      <c r="C335">
        <v>640000</v>
      </c>
      <c r="D335">
        <v>25500</v>
      </c>
    </row>
    <row r="336" spans="1:4" x14ac:dyDescent="0.25">
      <c r="A336" t="str">
        <f>T("230400")</f>
        <v>230400</v>
      </c>
      <c r="B336" t="str">
        <f>T("Tourteaux et autres résidus solides, même broyés ou agglomérés sous forme de pellets, de l'extraction de l'huile de soja")</f>
        <v>Tourteaux et autres résidus solides, même broyés ou agglomérés sous forme de pellets, de l'extraction de l'huile de soja</v>
      </c>
    </row>
    <row r="337" spans="1:4" x14ac:dyDescent="0.25">
      <c r="A337" t="str">
        <f>T("   ZZZ_Monde")</f>
        <v xml:space="preserve">   ZZZ_Monde</v>
      </c>
      <c r="B337" t="str">
        <f>T("   ZZZ_Monde")</f>
        <v xml:space="preserve">   ZZZ_Monde</v>
      </c>
      <c r="C337">
        <v>281870506</v>
      </c>
      <c r="D337">
        <v>798378</v>
      </c>
    </row>
    <row r="338" spans="1:4" x14ac:dyDescent="0.25">
      <c r="A338" t="str">
        <f>T("   CI")</f>
        <v xml:space="preserve">   CI</v>
      </c>
      <c r="B338" t="str">
        <f>T("   Côte d'Ivoire")</f>
        <v xml:space="preserve">   Côte d'Ivoire</v>
      </c>
      <c r="C338">
        <v>66374281</v>
      </c>
      <c r="D338">
        <v>179185</v>
      </c>
    </row>
    <row r="339" spans="1:4" x14ac:dyDescent="0.25">
      <c r="A339" t="str">
        <f>T("   GA")</f>
        <v xml:space="preserve">   GA</v>
      </c>
      <c r="B339" t="str">
        <f>T("   Gabon")</f>
        <v xml:space="preserve">   Gabon</v>
      </c>
      <c r="C339">
        <v>97568310</v>
      </c>
      <c r="D339">
        <v>237986</v>
      </c>
    </row>
    <row r="340" spans="1:4" x14ac:dyDescent="0.25">
      <c r="A340" t="str">
        <f>T("   GH")</f>
        <v xml:space="preserve">   GH</v>
      </c>
      <c r="B340" t="str">
        <f>T("   Ghana")</f>
        <v xml:space="preserve">   Ghana</v>
      </c>
      <c r="C340">
        <v>117927915</v>
      </c>
      <c r="D340">
        <v>381207</v>
      </c>
    </row>
    <row r="341" spans="1:4" x14ac:dyDescent="0.25">
      <c r="A341" t="str">
        <f>T("230610")</f>
        <v>230610</v>
      </c>
      <c r="B341"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342" spans="1:4" x14ac:dyDescent="0.25">
      <c r="A342" t="str">
        <f>T("   ZZZ_Monde")</f>
        <v xml:space="preserve">   ZZZ_Monde</v>
      </c>
      <c r="B342" t="str">
        <f>T("   ZZZ_Monde")</f>
        <v xml:space="preserve">   ZZZ_Monde</v>
      </c>
      <c r="C342">
        <v>2751850581</v>
      </c>
      <c r="D342">
        <v>20537892</v>
      </c>
    </row>
    <row r="343" spans="1:4" x14ac:dyDescent="0.25">
      <c r="A343" t="str">
        <f>T("   CI")</f>
        <v xml:space="preserve">   CI</v>
      </c>
      <c r="B343" t="str">
        <f>T("   Côte d'Ivoire")</f>
        <v xml:space="preserve">   Côte d'Ivoire</v>
      </c>
      <c r="C343">
        <v>973272578</v>
      </c>
      <c r="D343">
        <v>6322950</v>
      </c>
    </row>
    <row r="344" spans="1:4" x14ac:dyDescent="0.25">
      <c r="A344" t="str">
        <f>T("   DE")</f>
        <v xml:space="preserve">   DE</v>
      </c>
      <c r="B344" t="str">
        <f>T("   Allemagne")</f>
        <v xml:space="preserve">   Allemagne</v>
      </c>
      <c r="C344">
        <v>13387800</v>
      </c>
      <c r="D344">
        <v>92439</v>
      </c>
    </row>
    <row r="345" spans="1:4" x14ac:dyDescent="0.25">
      <c r="A345" t="str">
        <f>T("   GB")</f>
        <v xml:space="preserve">   GB</v>
      </c>
      <c r="B345" t="str">
        <f>T("   Royaume-Uni")</f>
        <v xml:space="preserve">   Royaume-Uni</v>
      </c>
      <c r="C345">
        <v>3565000</v>
      </c>
      <c r="D345">
        <v>71300</v>
      </c>
    </row>
    <row r="346" spans="1:4" x14ac:dyDescent="0.25">
      <c r="A346" t="str">
        <f>T("   GH")</f>
        <v xml:space="preserve">   GH</v>
      </c>
      <c r="B346" t="str">
        <f>T("   Ghana")</f>
        <v xml:space="preserve">   Ghana</v>
      </c>
      <c r="C346">
        <v>1299966436</v>
      </c>
      <c r="D346">
        <v>7706078</v>
      </c>
    </row>
    <row r="347" spans="1:4" x14ac:dyDescent="0.25">
      <c r="A347" t="str">
        <f>T("   MR")</f>
        <v xml:space="preserve">   MR</v>
      </c>
      <c r="B347" t="str">
        <f>T("   Mauritanie")</f>
        <v xml:space="preserve">   Mauritanie</v>
      </c>
      <c r="C347">
        <v>66893292</v>
      </c>
      <c r="D347">
        <v>1019777</v>
      </c>
    </row>
    <row r="348" spans="1:4" x14ac:dyDescent="0.25">
      <c r="A348" t="str">
        <f>T("   TG")</f>
        <v xml:space="preserve">   TG</v>
      </c>
      <c r="B348" t="str">
        <f>T("   Togo")</f>
        <v xml:space="preserve">   Togo</v>
      </c>
      <c r="C348">
        <v>97549680</v>
      </c>
      <c r="D348">
        <v>658400</v>
      </c>
    </row>
    <row r="349" spans="1:4" x14ac:dyDescent="0.25">
      <c r="A349" t="str">
        <f>T("   ZA")</f>
        <v xml:space="preserve">   ZA</v>
      </c>
      <c r="B349" t="str">
        <f>T("   Afrique du Sud")</f>
        <v xml:space="preserve">   Afrique du Sud</v>
      </c>
      <c r="C349">
        <v>297215795</v>
      </c>
      <c r="D349">
        <v>4666948</v>
      </c>
    </row>
    <row r="350" spans="1:4" x14ac:dyDescent="0.25">
      <c r="A350" t="str">
        <f>T("230690")</f>
        <v>230690</v>
      </c>
      <c r="B350" t="str">
        <f>T("Tourteaux et autres résidus solides, même broyés ou agglomérés sous forme de pellets, de l'extraction de graisses ou huiles végétales (à l'excl. des tourteaux et autres résidus solides de l'extraction des graisses ou huiles de soja, d'arachide, de coton,")</f>
        <v>Tourteaux et autres résidus solides, même broyés ou agglomérés sous forme de pellets, de l'extraction de graisses ou huiles végétales (à l'excl. des tourteaux et autres résidus solides de l'extraction des graisses ou huiles de soja, d'arachide, de coton,</v>
      </c>
    </row>
    <row r="351" spans="1:4" x14ac:dyDescent="0.25">
      <c r="A351" t="str">
        <f>T("   ZZZ_Monde")</f>
        <v xml:space="preserve">   ZZZ_Monde</v>
      </c>
      <c r="B351" t="str">
        <f>T("   ZZZ_Monde")</f>
        <v xml:space="preserve">   ZZZ_Monde</v>
      </c>
      <c r="C351">
        <v>259562906</v>
      </c>
      <c r="D351">
        <v>5399125</v>
      </c>
    </row>
    <row r="352" spans="1:4" x14ac:dyDescent="0.25">
      <c r="A352" t="str">
        <f>T("   TR")</f>
        <v xml:space="preserve">   TR</v>
      </c>
      <c r="B352" t="str">
        <f>T("   Turquie")</f>
        <v xml:space="preserve">   Turquie</v>
      </c>
      <c r="C352">
        <v>152216204</v>
      </c>
      <c r="D352">
        <v>3105343</v>
      </c>
    </row>
    <row r="353" spans="1:4" x14ac:dyDescent="0.25">
      <c r="A353" t="str">
        <f>T("   ZA")</f>
        <v xml:space="preserve">   ZA</v>
      </c>
      <c r="B353" t="str">
        <f>T("   Afrique du Sud")</f>
        <v xml:space="preserve">   Afrique du Sud</v>
      </c>
      <c r="C353">
        <v>107346702</v>
      </c>
      <c r="D353">
        <v>2293782</v>
      </c>
    </row>
    <row r="354" spans="1:4" x14ac:dyDescent="0.25">
      <c r="A354" t="str">
        <f>T("230800")</f>
        <v>230800</v>
      </c>
      <c r="B354" t="str">
        <f>T("Glands de chêne, marrons d'Inde, marcs de fruits et autres matières, déchets, résidus et sous-produits végétaux, même agglomérés sous forme de pellets, des types utilisés pour l'alimentation des animaux, n.d.a.")</f>
        <v>Glands de chêne, marrons d'Inde, marcs de fruits et autres matières, déchets, résidus et sous-produits végétaux, même agglomérés sous forme de pellets, des types utilisés pour l'alimentation des animaux, n.d.a.</v>
      </c>
    </row>
    <row r="355" spans="1:4" x14ac:dyDescent="0.25">
      <c r="A355" t="str">
        <f>T("   ZZZ_Monde")</f>
        <v xml:space="preserve">   ZZZ_Monde</v>
      </c>
      <c r="B355" t="str">
        <f>T("   ZZZ_Monde")</f>
        <v xml:space="preserve">   ZZZ_Monde</v>
      </c>
      <c r="C355">
        <v>98296918</v>
      </c>
      <c r="D355">
        <v>239762</v>
      </c>
    </row>
    <row r="356" spans="1:4" x14ac:dyDescent="0.25">
      <c r="A356" t="str">
        <f>T("   GA")</f>
        <v xml:space="preserve">   GA</v>
      </c>
      <c r="B356" t="str">
        <f>T("   Gabon")</f>
        <v xml:space="preserve">   Gabon</v>
      </c>
      <c r="C356">
        <v>98296918</v>
      </c>
      <c r="D356">
        <v>239762</v>
      </c>
    </row>
    <row r="357" spans="1:4" x14ac:dyDescent="0.25">
      <c r="A357" t="str">
        <f>T("230990")</f>
        <v>230990</v>
      </c>
      <c r="B357" t="str">
        <f>T("Préparations des types utilisés pour l'alimentation des animaux (à l'excl. des aliments pour chiens ou chats conditionnés pour la vente au détail)")</f>
        <v>Préparations des types utilisés pour l'alimentation des animaux (à l'excl. des aliments pour chiens ou chats conditionnés pour la vente au détail)</v>
      </c>
    </row>
    <row r="358" spans="1:4" x14ac:dyDescent="0.25">
      <c r="A358" t="str">
        <f>T("   ZZZ_Monde")</f>
        <v xml:space="preserve">   ZZZ_Monde</v>
      </c>
      <c r="B358" t="str">
        <f>T("   ZZZ_Monde")</f>
        <v xml:space="preserve">   ZZZ_Monde</v>
      </c>
      <c r="C358">
        <v>13000000</v>
      </c>
      <c r="D358">
        <v>200000</v>
      </c>
    </row>
    <row r="359" spans="1:4" x14ac:dyDescent="0.25">
      <c r="A359" t="str">
        <f>T("   BF")</f>
        <v xml:space="preserve">   BF</v>
      </c>
      <c r="B359" t="str">
        <f>T("   Burkina Faso")</f>
        <v xml:space="preserve">   Burkina Faso</v>
      </c>
      <c r="C359">
        <v>13000000</v>
      </c>
      <c r="D359">
        <v>200000</v>
      </c>
    </row>
    <row r="360" spans="1:4" x14ac:dyDescent="0.25">
      <c r="A360" t="str">
        <f>T("240220")</f>
        <v>240220</v>
      </c>
      <c r="B360" t="str">
        <f>T("Cigarettes contenant du tabac")</f>
        <v>Cigarettes contenant du tabac</v>
      </c>
    </row>
    <row r="361" spans="1:4" x14ac:dyDescent="0.25">
      <c r="A361" t="str">
        <f>T("   ZZZ_Monde")</f>
        <v xml:space="preserve">   ZZZ_Monde</v>
      </c>
      <c r="B361" t="str">
        <f>T("   ZZZ_Monde")</f>
        <v xml:space="preserve">   ZZZ_Monde</v>
      </c>
      <c r="C361">
        <v>141375000</v>
      </c>
      <c r="D361">
        <v>10875</v>
      </c>
    </row>
    <row r="362" spans="1:4" x14ac:dyDescent="0.25">
      <c r="A362" t="str">
        <f>T("   TG")</f>
        <v xml:space="preserve">   TG</v>
      </c>
      <c r="B362" t="str">
        <f>T("   Togo")</f>
        <v xml:space="preserve">   Togo</v>
      </c>
      <c r="C362">
        <v>141375000</v>
      </c>
      <c r="D362">
        <v>10875</v>
      </c>
    </row>
    <row r="363" spans="1:4" x14ac:dyDescent="0.25">
      <c r="A363" t="str">
        <f>T("240290")</f>
        <v>240290</v>
      </c>
      <c r="B363" t="str">
        <f>T("Cigares, cigarillos et cigarettes, en succédanés du tabac")</f>
        <v>Cigares, cigarillos et cigarettes, en succédanés du tabac</v>
      </c>
    </row>
    <row r="364" spans="1:4" x14ac:dyDescent="0.25">
      <c r="A364" t="str">
        <f>T("   ZZZ_Monde")</f>
        <v xml:space="preserve">   ZZZ_Monde</v>
      </c>
      <c r="B364" t="str">
        <f>T("   ZZZ_Monde")</f>
        <v xml:space="preserve">   ZZZ_Monde</v>
      </c>
      <c r="C364">
        <v>100000000</v>
      </c>
      <c r="D364">
        <v>152000</v>
      </c>
    </row>
    <row r="365" spans="1:4" x14ac:dyDescent="0.25">
      <c r="A365" t="str">
        <f>T("   LB")</f>
        <v xml:space="preserve">   LB</v>
      </c>
      <c r="B365" t="str">
        <f>T("   Liban")</f>
        <v xml:space="preserve">   Liban</v>
      </c>
      <c r="C365">
        <v>100000000</v>
      </c>
      <c r="D365">
        <v>152000</v>
      </c>
    </row>
    <row r="366" spans="1:4" x14ac:dyDescent="0.25">
      <c r="A366" t="str">
        <f>T("250100")</f>
        <v>250100</v>
      </c>
      <c r="B366" t="str">
        <f>T("SEL, Y.C. LE SEL PRÉPARÉ POUR LA TABLE ET LE SEL DÉNATURÉ, ET CHLORURE DE SODIUM PUR, MÊME EN SOLUTION AQUEUSE OU ADDITIONNÉS D'AGENTS ANTIAGGLOMÉRANTS OU D'AGENTS ASSURANT UNE BONNE FLUIDITÉ; EAU DE MER [01/01/1988-31/12/1991: SEL, Y.C. LE SEL PREPARE PO")</f>
        <v>SEL, Y.C. LE SEL PRÉPARÉ POUR LA TABLE ET LE SEL DÉNATURÉ, ET CHLORURE DE SODIUM PUR, MÊME EN SOLUTION AQUEUSE OU ADDITIONNÉS D'AGENTS ANTIAGGLOMÉRANTS OU D'AGENTS ASSURANT UNE BONNE FLUIDITÉ; EAU DE MER [01/01/1988-31/12/1991: SEL, Y.C. LE SEL PREPARE PO</v>
      </c>
    </row>
    <row r="367" spans="1:4" x14ac:dyDescent="0.25">
      <c r="A367" t="str">
        <f>T("   ZZZ_Monde")</f>
        <v xml:space="preserve">   ZZZ_Monde</v>
      </c>
      <c r="B367" t="str">
        <f>T("   ZZZ_Monde")</f>
        <v xml:space="preserve">   ZZZ_Monde</v>
      </c>
      <c r="C367">
        <v>125157306</v>
      </c>
      <c r="D367">
        <v>125796</v>
      </c>
    </row>
    <row r="368" spans="1:4" x14ac:dyDescent="0.25">
      <c r="A368" t="str">
        <f>T("   CN")</f>
        <v xml:space="preserve">   CN</v>
      </c>
      <c r="B368" t="str">
        <f>T("   Chine")</f>
        <v xml:space="preserve">   Chine</v>
      </c>
      <c r="C368">
        <v>125157306</v>
      </c>
      <c r="D368">
        <v>125796</v>
      </c>
    </row>
    <row r="369" spans="1:4" x14ac:dyDescent="0.25">
      <c r="A369" t="str">
        <f>T("251520")</f>
        <v>251520</v>
      </c>
      <c r="B369"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370" spans="1:4" x14ac:dyDescent="0.25">
      <c r="A370" t="str">
        <f>T("   ZZZ_Monde")</f>
        <v xml:space="preserve">   ZZZ_Monde</v>
      </c>
      <c r="B370" t="str">
        <f>T("   ZZZ_Monde")</f>
        <v xml:space="preserve">   ZZZ_Monde</v>
      </c>
      <c r="C370">
        <v>1017615800</v>
      </c>
      <c r="D370">
        <v>91870000</v>
      </c>
    </row>
    <row r="371" spans="1:4" x14ac:dyDescent="0.25">
      <c r="A371" t="str">
        <f>T("   GH")</f>
        <v xml:space="preserve">   GH</v>
      </c>
      <c r="B371" t="str">
        <f>T("   Ghana")</f>
        <v xml:space="preserve">   Ghana</v>
      </c>
      <c r="C371">
        <v>183370000</v>
      </c>
      <c r="D371">
        <v>16540000</v>
      </c>
    </row>
    <row r="372" spans="1:4" x14ac:dyDescent="0.25">
      <c r="A372" t="str">
        <f>T("   TG")</f>
        <v xml:space="preserve">   TG</v>
      </c>
      <c r="B372" t="str">
        <f>T("   Togo")</f>
        <v xml:space="preserve">   Togo</v>
      </c>
      <c r="C372">
        <v>834245800</v>
      </c>
      <c r="D372">
        <v>75330000</v>
      </c>
    </row>
    <row r="373" spans="1:4" x14ac:dyDescent="0.25">
      <c r="A373" t="str">
        <f>T("251690")</f>
        <v>251690</v>
      </c>
      <c r="B373" t="str">
        <f>T("Porphyre, basalte et autres pierres de taille ou de construction, même dégrossis ou simplement débités, en blocs ou en plaques de forme carrée ou rectangulaire (sauf granit, grès, pierres présentées sous la forme de granulés, d'éclats ou de poudres, pierr")</f>
        <v>Porphyre, basalte et autres pierres de taille ou de construction, même dégrossis ou simplement débités, en blocs ou en plaques de forme carrée ou rectangulaire (sauf granit, grès, pierres présentées sous la forme de granulés, d'éclats ou de poudres, pierr</v>
      </c>
    </row>
    <row r="374" spans="1:4" x14ac:dyDescent="0.25">
      <c r="A374" t="str">
        <f>T("   ZZZ_Monde")</f>
        <v xml:space="preserve">   ZZZ_Monde</v>
      </c>
      <c r="B374" t="str">
        <f>T("   ZZZ_Monde")</f>
        <v xml:space="preserve">   ZZZ_Monde</v>
      </c>
      <c r="C374">
        <v>2582537</v>
      </c>
      <c r="D374">
        <v>31913</v>
      </c>
    </row>
    <row r="375" spans="1:4" x14ac:dyDescent="0.25">
      <c r="A375" t="str">
        <f>T("   CG")</f>
        <v xml:space="preserve">   CG</v>
      </c>
      <c r="B375" t="str">
        <f>T("   Congo (Brazzaville)")</f>
        <v xml:space="preserve">   Congo (Brazzaville)</v>
      </c>
      <c r="C375">
        <v>900000</v>
      </c>
      <c r="D375">
        <v>4800</v>
      </c>
    </row>
    <row r="376" spans="1:4" x14ac:dyDescent="0.25">
      <c r="A376" t="str">
        <f>T("   LB")</f>
        <v xml:space="preserve">   LB</v>
      </c>
      <c r="B376" t="str">
        <f>T("   Liban")</f>
        <v xml:space="preserve">   Liban</v>
      </c>
      <c r="C376">
        <v>1682537</v>
      </c>
      <c r="D376">
        <v>27113</v>
      </c>
    </row>
    <row r="377" spans="1:4" x14ac:dyDescent="0.25">
      <c r="A377" t="str">
        <f>T("251710")</f>
        <v>251710</v>
      </c>
      <c r="B377"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378" spans="1:4" x14ac:dyDescent="0.25">
      <c r="A378" t="str">
        <f>T("   ZZZ_Monde")</f>
        <v xml:space="preserve">   ZZZ_Monde</v>
      </c>
      <c r="B378" t="str">
        <f>T("   ZZZ_Monde")</f>
        <v xml:space="preserve">   ZZZ_Monde</v>
      </c>
      <c r="C378">
        <v>1980000</v>
      </c>
      <c r="D378">
        <v>88000</v>
      </c>
    </row>
    <row r="379" spans="1:4" x14ac:dyDescent="0.25">
      <c r="A379" t="str">
        <f>T("   SN")</f>
        <v xml:space="preserve">   SN</v>
      </c>
      <c r="B379" t="str">
        <f>T("   Sénégal")</f>
        <v xml:space="preserve">   Sénégal</v>
      </c>
      <c r="C379">
        <v>1980000</v>
      </c>
      <c r="D379">
        <v>88000</v>
      </c>
    </row>
    <row r="380" spans="1:4" x14ac:dyDescent="0.25">
      <c r="A380" t="str">
        <f>T("251749")</f>
        <v>251749</v>
      </c>
      <c r="B380" t="str">
        <f>T("Granulés, éclats et poudres, même traités thermiquement, de travertins, d'écaussines, d'albâtre, de granit, de grès, de porphyre, de syénite, de lave, de basalte, de gneiss, de trachyte et autres pierres du n° 2515 et 2516 (à l'excl. des granulés, éclats")</f>
        <v>Granulés, éclats et poudres, même traités thermiquement, de travertins, d'écaussines, d'albâtre, de granit, de grès, de porphyre, de syénite, de lave, de basalte, de gneiss, de trachyte et autres pierres du n° 2515 et 2516 (à l'excl. des granulés, éclats</v>
      </c>
    </row>
    <row r="381" spans="1:4" x14ac:dyDescent="0.25">
      <c r="A381" t="str">
        <f>T("   ZZZ_Monde")</f>
        <v xml:space="preserve">   ZZZ_Monde</v>
      </c>
      <c r="B381" t="str">
        <f>T("   ZZZ_Monde")</f>
        <v xml:space="preserve">   ZZZ_Monde</v>
      </c>
      <c r="C381">
        <v>80418692</v>
      </c>
      <c r="D381">
        <v>32115185</v>
      </c>
    </row>
    <row r="382" spans="1:4" x14ac:dyDescent="0.25">
      <c r="A382" t="str">
        <f>T("   GH")</f>
        <v xml:space="preserve">   GH</v>
      </c>
      <c r="B382" t="str">
        <f>T("   Ghana")</f>
        <v xml:space="preserve">   Ghana</v>
      </c>
      <c r="C382">
        <v>3350000</v>
      </c>
      <c r="D382">
        <v>1340000</v>
      </c>
    </row>
    <row r="383" spans="1:4" x14ac:dyDescent="0.25">
      <c r="A383" t="str">
        <f>T("   MA")</f>
        <v xml:space="preserve">   MA</v>
      </c>
      <c r="B383" t="str">
        <f>T("   Maroc")</f>
        <v xml:space="preserve">   Maroc</v>
      </c>
      <c r="C383">
        <v>131192</v>
      </c>
      <c r="D383">
        <v>185</v>
      </c>
    </row>
    <row r="384" spans="1:4" x14ac:dyDescent="0.25">
      <c r="A384" t="str">
        <f>T("   TG")</f>
        <v xml:space="preserve">   TG</v>
      </c>
      <c r="B384" t="str">
        <f>T("   Togo")</f>
        <v xml:space="preserve">   Togo</v>
      </c>
      <c r="C384">
        <v>76937500</v>
      </c>
      <c r="D384">
        <v>30775000</v>
      </c>
    </row>
    <row r="385" spans="1:4" x14ac:dyDescent="0.25">
      <c r="A385" t="str">
        <f>T("252329")</f>
        <v>252329</v>
      </c>
      <c r="B385" t="str">
        <f>T("Ciment Portland normal ou modéré (à l'excl. des ciments Portland blancs, même colorés artificiellement)")</f>
        <v>Ciment Portland normal ou modéré (à l'excl. des ciments Portland blancs, même colorés artificiellement)</v>
      </c>
    </row>
    <row r="386" spans="1:4" x14ac:dyDescent="0.25">
      <c r="A386" t="str">
        <f>T("   ZZZ_Monde")</f>
        <v xml:space="preserve">   ZZZ_Monde</v>
      </c>
      <c r="B386" t="str">
        <f>T("   ZZZ_Monde")</f>
        <v xml:space="preserve">   ZZZ_Monde</v>
      </c>
      <c r="C386">
        <v>1126618425</v>
      </c>
      <c r="D386">
        <v>16386100</v>
      </c>
    </row>
    <row r="387" spans="1:4" x14ac:dyDescent="0.25">
      <c r="A387" t="str">
        <f>T("   GQ")</f>
        <v xml:space="preserve">   GQ</v>
      </c>
      <c r="B387" t="str">
        <f>T("   Guinée Equatoriale")</f>
        <v xml:space="preserve">   Guinée Equatoriale</v>
      </c>
      <c r="C387">
        <v>1575000</v>
      </c>
      <c r="D387">
        <v>1100</v>
      </c>
    </row>
    <row r="388" spans="1:4" x14ac:dyDescent="0.25">
      <c r="A388" t="str">
        <f>T("   NE")</f>
        <v xml:space="preserve">   NE</v>
      </c>
      <c r="B388" t="str">
        <f>T("   Niger")</f>
        <v xml:space="preserve">   Niger</v>
      </c>
      <c r="C388">
        <v>1121087025</v>
      </c>
      <c r="D388">
        <v>16035000</v>
      </c>
    </row>
    <row r="389" spans="1:4" x14ac:dyDescent="0.25">
      <c r="A389" t="str">
        <f>T("   TG")</f>
        <v xml:space="preserve">   TG</v>
      </c>
      <c r="B389" t="str">
        <f>T("   Togo")</f>
        <v xml:space="preserve">   Togo</v>
      </c>
      <c r="C389">
        <v>3956400</v>
      </c>
      <c r="D389">
        <v>350000</v>
      </c>
    </row>
    <row r="390" spans="1:4" x14ac:dyDescent="0.25">
      <c r="A390" t="str">
        <f>T("271019")</f>
        <v>271019</v>
      </c>
      <c r="B390" t="str">
        <f>T("Huiles moyennes et préparations, de pétrole ou de minéraux bitumineux, n.d.a.")</f>
        <v>Huiles moyennes et préparations, de pétrole ou de minéraux bitumineux, n.d.a.</v>
      </c>
    </row>
    <row r="391" spans="1:4" x14ac:dyDescent="0.25">
      <c r="A391" t="str">
        <f>T("   ZZZ_Monde")</f>
        <v xml:space="preserve">   ZZZ_Monde</v>
      </c>
      <c r="B391" t="str">
        <f>T("   ZZZ_Monde")</f>
        <v xml:space="preserve">   ZZZ_Monde</v>
      </c>
      <c r="C391">
        <v>199390200</v>
      </c>
      <c r="D391">
        <v>427706</v>
      </c>
    </row>
    <row r="392" spans="1:4" x14ac:dyDescent="0.25">
      <c r="A392" t="str">
        <f>T("   CI")</f>
        <v xml:space="preserve">   CI</v>
      </c>
      <c r="B392" t="str">
        <f>T("   Côte d'Ivoire")</f>
        <v xml:space="preserve">   Côte d'Ivoire</v>
      </c>
      <c r="C392">
        <v>93289551</v>
      </c>
      <c r="D392">
        <v>178364</v>
      </c>
    </row>
    <row r="393" spans="1:4" x14ac:dyDescent="0.25">
      <c r="A393" t="str">
        <f>T("   NG")</f>
        <v xml:space="preserve">   NG</v>
      </c>
      <c r="B393" t="str">
        <f>T("   Nigéria")</f>
        <v xml:space="preserve">   Nigéria</v>
      </c>
      <c r="C393">
        <v>23811217</v>
      </c>
      <c r="D393">
        <v>55958</v>
      </c>
    </row>
    <row r="394" spans="1:4" x14ac:dyDescent="0.25">
      <c r="A394" t="str">
        <f>T("   ZA")</f>
        <v xml:space="preserve">   ZA</v>
      </c>
      <c r="B394" t="str">
        <f>T("   Afrique du Sud")</f>
        <v xml:space="preserve">   Afrique du Sud</v>
      </c>
      <c r="C394">
        <v>82289432</v>
      </c>
      <c r="D394">
        <v>193384</v>
      </c>
    </row>
    <row r="395" spans="1:4" x14ac:dyDescent="0.25">
      <c r="A395" t="str">
        <f>T("271320")</f>
        <v>271320</v>
      </c>
      <c r="B395" t="str">
        <f>T("Bitume de pétrole")</f>
        <v>Bitume de pétrole</v>
      </c>
    </row>
    <row r="396" spans="1:4" x14ac:dyDescent="0.25">
      <c r="A396" t="str">
        <f>T("   ZZZ_Monde")</f>
        <v xml:space="preserve">   ZZZ_Monde</v>
      </c>
      <c r="B396" t="str">
        <f>T("   ZZZ_Monde")</f>
        <v xml:space="preserve">   ZZZ_Monde</v>
      </c>
      <c r="C396">
        <v>7668000</v>
      </c>
      <c r="D396">
        <v>18000</v>
      </c>
    </row>
    <row r="397" spans="1:4" x14ac:dyDescent="0.25">
      <c r="A397" t="str">
        <f>T("   CI")</f>
        <v xml:space="preserve">   CI</v>
      </c>
      <c r="B397" t="str">
        <f>T("   Côte d'Ivoire")</f>
        <v xml:space="preserve">   Côte d'Ivoire</v>
      </c>
      <c r="C397">
        <v>3834000</v>
      </c>
      <c r="D397">
        <v>9000</v>
      </c>
    </row>
    <row r="398" spans="1:4" x14ac:dyDescent="0.25">
      <c r="A398" t="str">
        <f>T("   TG")</f>
        <v xml:space="preserve">   TG</v>
      </c>
      <c r="B398" t="str">
        <f>T("   Togo")</f>
        <v xml:space="preserve">   Togo</v>
      </c>
      <c r="C398">
        <v>3834000</v>
      </c>
      <c r="D398">
        <v>9000</v>
      </c>
    </row>
    <row r="399" spans="1:4" x14ac:dyDescent="0.25">
      <c r="A399" t="str">
        <f>T("280421")</f>
        <v>280421</v>
      </c>
      <c r="B399" t="str">
        <f>T("Argon")</f>
        <v>Argon</v>
      </c>
    </row>
    <row r="400" spans="1:4" x14ac:dyDescent="0.25">
      <c r="A400" t="str">
        <f>T("   ZZZ_Monde")</f>
        <v xml:space="preserve">   ZZZ_Monde</v>
      </c>
      <c r="B400" t="str">
        <f>T("   ZZZ_Monde")</f>
        <v xml:space="preserve">   ZZZ_Monde</v>
      </c>
      <c r="C400">
        <v>1104590</v>
      </c>
      <c r="D400">
        <v>1500</v>
      </c>
    </row>
    <row r="401" spans="1:4" x14ac:dyDescent="0.25">
      <c r="A401" t="str">
        <f>T("   GH")</f>
        <v xml:space="preserve">   GH</v>
      </c>
      <c r="B401" t="str">
        <f>T("   Ghana")</f>
        <v xml:space="preserve">   Ghana</v>
      </c>
      <c r="C401">
        <v>1104590</v>
      </c>
      <c r="D401">
        <v>1500</v>
      </c>
    </row>
    <row r="402" spans="1:4" x14ac:dyDescent="0.25">
      <c r="A402" t="str">
        <f>T("293090")</f>
        <v>293090</v>
      </c>
      <c r="B402" t="str">
        <f>T("THIOCOMPOSÉS ORGANIQUES (À L'EXCL. DES THIOCARBAMATES, DES DITHIOCARBAMATES, DES MONO-, DI- OU TÉTRASULFURES DE THIOURAME, DE LA MÉTHIONINE, DU CAPTAFOL [ISO] AINSI QUE DU MÉTHAMIDOPHOS [ISO])")</f>
        <v>THIOCOMPOSÉS ORGANIQUES (À L'EXCL. DES THIOCARBAMATES, DES DITHIOCARBAMATES, DES MONO-, DI- OU TÉTRASULFURES DE THIOURAME, DE LA MÉTHIONINE, DU CAPTAFOL [ISO] AINSI QUE DU MÉTHAMIDOPHOS [ISO])</v>
      </c>
    </row>
    <row r="403" spans="1:4" x14ac:dyDescent="0.25">
      <c r="A403" t="str">
        <f>T("   ZZZ_Monde")</f>
        <v xml:space="preserve">   ZZZ_Monde</v>
      </c>
      <c r="B403" t="str">
        <f>T("   ZZZ_Monde")</f>
        <v xml:space="preserve">   ZZZ_Monde</v>
      </c>
      <c r="C403">
        <v>350000</v>
      </c>
      <c r="D403">
        <v>724</v>
      </c>
    </row>
    <row r="404" spans="1:4" x14ac:dyDescent="0.25">
      <c r="A404" t="str">
        <f>T("   NE")</f>
        <v xml:space="preserve">   NE</v>
      </c>
      <c r="B404" t="str">
        <f>T("   Niger")</f>
        <v xml:space="preserve">   Niger</v>
      </c>
      <c r="C404">
        <v>350000</v>
      </c>
      <c r="D404">
        <v>724</v>
      </c>
    </row>
    <row r="405" spans="1:4" x14ac:dyDescent="0.25">
      <c r="A405" t="str">
        <f>T("293329")</f>
        <v>293329</v>
      </c>
      <c r="B405" t="str">
        <f>T("COMPOSÉS HÉTÉROCYCLIQUES À HÉTÉROATOME[S] D'AZOTE EXCLUSIVEMENT, DONT LA STRUCTURE COMPORTE UN CYCLE IMIDAZOLE, HYDROGÉNÉ OU NON, NON-CONDENSÉ (À L'EXCL. DE L'HYDANTOÏNE ET DE SES DÉRIVÉS)")</f>
        <v>COMPOSÉS HÉTÉROCYCLIQUES À HÉTÉROATOME[S] D'AZOTE EXCLUSIVEMENT, DONT LA STRUCTURE COMPORTE UN CYCLE IMIDAZOLE, HYDROGÉNÉ OU NON, NON-CONDENSÉ (À L'EXCL. DE L'HYDANTOÏNE ET DE SES DÉRIVÉS)</v>
      </c>
    </row>
    <row r="406" spans="1:4" x14ac:dyDescent="0.25">
      <c r="A406" t="str">
        <f>T("   ZZZ_Monde")</f>
        <v xml:space="preserve">   ZZZ_Monde</v>
      </c>
      <c r="B406" t="str">
        <f>T("   ZZZ_Monde")</f>
        <v xml:space="preserve">   ZZZ_Monde</v>
      </c>
      <c r="C406">
        <v>60000</v>
      </c>
      <c r="D406">
        <v>5100</v>
      </c>
    </row>
    <row r="407" spans="1:4" x14ac:dyDescent="0.25">
      <c r="A407" t="str">
        <f>T("   CN")</f>
        <v xml:space="preserve">   CN</v>
      </c>
      <c r="B407" t="str">
        <f>T("   Chine")</f>
        <v xml:space="preserve">   Chine</v>
      </c>
      <c r="C407">
        <v>60000</v>
      </c>
      <c r="D407">
        <v>5100</v>
      </c>
    </row>
    <row r="408" spans="1:4" x14ac:dyDescent="0.25">
      <c r="A408" t="str">
        <f>T("300390")</f>
        <v>300390</v>
      </c>
      <c r="B408"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409" spans="1:4" x14ac:dyDescent="0.25">
      <c r="A409" t="str">
        <f>T("   ZZZ_Monde")</f>
        <v xml:space="preserve">   ZZZ_Monde</v>
      </c>
      <c r="B409" t="str">
        <f>T("   ZZZ_Monde")</f>
        <v xml:space="preserve">   ZZZ_Monde</v>
      </c>
      <c r="C409">
        <v>670279767</v>
      </c>
      <c r="D409">
        <v>94588.92</v>
      </c>
    </row>
    <row r="410" spans="1:4" x14ac:dyDescent="0.25">
      <c r="A410" t="str">
        <f>T("   CM")</f>
        <v xml:space="preserve">   CM</v>
      </c>
      <c r="B410" t="str">
        <f>T("   Cameroun")</f>
        <v xml:space="preserve">   Cameroun</v>
      </c>
      <c r="C410">
        <v>608436842</v>
      </c>
      <c r="D410">
        <v>89981.440000000002</v>
      </c>
    </row>
    <row r="411" spans="1:4" x14ac:dyDescent="0.25">
      <c r="A411" t="str">
        <f>T("   NE")</f>
        <v xml:space="preserve">   NE</v>
      </c>
      <c r="B411" t="str">
        <f>T("   Niger")</f>
        <v xml:space="preserve">   Niger</v>
      </c>
      <c r="C411">
        <v>61842925</v>
      </c>
      <c r="D411">
        <v>4607.4799999999996</v>
      </c>
    </row>
    <row r="412" spans="1:4" x14ac:dyDescent="0.25">
      <c r="A412" t="str">
        <f>T("300420")</f>
        <v>300420</v>
      </c>
      <c r="B412"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413" spans="1:4" x14ac:dyDescent="0.25">
      <c r="A413" t="str">
        <f>T("   ZZZ_Monde")</f>
        <v xml:space="preserve">   ZZZ_Monde</v>
      </c>
      <c r="B413" t="str">
        <f>T("   ZZZ_Monde")</f>
        <v xml:space="preserve">   ZZZ_Monde</v>
      </c>
      <c r="C413">
        <v>285227910</v>
      </c>
      <c r="D413">
        <v>15629</v>
      </c>
    </row>
    <row r="414" spans="1:4" x14ac:dyDescent="0.25">
      <c r="A414" t="str">
        <f>T("   GH")</f>
        <v xml:space="preserve">   GH</v>
      </c>
      <c r="B414" t="str">
        <f>T("   Ghana")</f>
        <v xml:space="preserve">   Ghana</v>
      </c>
      <c r="C414">
        <v>25149836</v>
      </c>
      <c r="D414">
        <v>741</v>
      </c>
    </row>
    <row r="415" spans="1:4" x14ac:dyDescent="0.25">
      <c r="A415" t="str">
        <f>T("   TG")</f>
        <v xml:space="preserve">   TG</v>
      </c>
      <c r="B415" t="str">
        <f>T("   Togo")</f>
        <v xml:space="preserve">   Togo</v>
      </c>
      <c r="C415">
        <v>260078074</v>
      </c>
      <c r="D415">
        <v>14888</v>
      </c>
    </row>
    <row r="416" spans="1:4" x14ac:dyDescent="0.25">
      <c r="A416" t="str">
        <f>T("300439")</f>
        <v>300439</v>
      </c>
      <c r="B416" t="str">
        <f>T("Médicaments contenant des hormones ou des stéroïdes utilisés comme hormones, mais ne contenant pas d'antibiotiques, présentés sous forme de doses [y.c. ceux destinés à être administrés par voie percutanée] ou conditionnés pour la vente au détail (à l'excl")</f>
        <v>Médicaments contenant des hormones ou des stéroïdes utilisés comme hormones, mais ne contenant pas d'antibiotiques, présentés sous forme de doses [y.c. ceux destinés à être administrés par voie percutanée] ou conditionnés pour la vente au détail (à l'excl</v>
      </c>
    </row>
    <row r="417" spans="1:4" x14ac:dyDescent="0.25">
      <c r="A417" t="str">
        <f>T("   ZZZ_Monde")</f>
        <v xml:space="preserve">   ZZZ_Monde</v>
      </c>
      <c r="B417" t="str">
        <f>T("   ZZZ_Monde")</f>
        <v xml:space="preserve">   ZZZ_Monde</v>
      </c>
      <c r="C417">
        <v>25132770</v>
      </c>
      <c r="D417">
        <v>2070</v>
      </c>
    </row>
    <row r="418" spans="1:4" x14ac:dyDescent="0.25">
      <c r="A418" t="str">
        <f>T("   TG")</f>
        <v xml:space="preserve">   TG</v>
      </c>
      <c r="B418" t="str">
        <f>T("   Togo")</f>
        <v xml:space="preserve">   Togo</v>
      </c>
      <c r="C418">
        <v>25132770</v>
      </c>
      <c r="D418">
        <v>2070</v>
      </c>
    </row>
    <row r="419" spans="1:4" x14ac:dyDescent="0.25">
      <c r="A419" t="str">
        <f>T("300490")</f>
        <v>300490</v>
      </c>
      <c r="B419"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420" spans="1:4" x14ac:dyDescent="0.25">
      <c r="A420" t="str">
        <f>T("   ZZZ_Monde")</f>
        <v xml:space="preserve">   ZZZ_Monde</v>
      </c>
      <c r="B420" t="str">
        <f>T("   ZZZ_Monde")</f>
        <v xml:space="preserve">   ZZZ_Monde</v>
      </c>
      <c r="C420">
        <v>183247771</v>
      </c>
      <c r="D420">
        <v>20737</v>
      </c>
    </row>
    <row r="421" spans="1:4" x14ac:dyDescent="0.25">
      <c r="A421" t="str">
        <f>T("   CM")</f>
        <v xml:space="preserve">   CM</v>
      </c>
      <c r="B421" t="str">
        <f>T("   Cameroun")</f>
        <v xml:space="preserve">   Cameroun</v>
      </c>
      <c r="C421">
        <v>79740616</v>
      </c>
      <c r="D421">
        <v>5178</v>
      </c>
    </row>
    <row r="422" spans="1:4" x14ac:dyDescent="0.25">
      <c r="A422" t="str">
        <f>T("   IN")</f>
        <v xml:space="preserve">   IN</v>
      </c>
      <c r="B422" t="str">
        <f>T("   Inde")</f>
        <v xml:space="preserve">   Inde</v>
      </c>
      <c r="C422">
        <v>4793500</v>
      </c>
      <c r="D422">
        <v>1000</v>
      </c>
    </row>
    <row r="423" spans="1:4" x14ac:dyDescent="0.25">
      <c r="A423" t="str">
        <f>T("   NE")</f>
        <v xml:space="preserve">   NE</v>
      </c>
      <c r="B423" t="str">
        <f>T("   Niger")</f>
        <v xml:space="preserve">   Niger</v>
      </c>
      <c r="C423">
        <v>22880255</v>
      </c>
      <c r="D423">
        <v>10055</v>
      </c>
    </row>
    <row r="424" spans="1:4" x14ac:dyDescent="0.25">
      <c r="A424" t="str">
        <f>T("   TG")</f>
        <v xml:space="preserve">   TG</v>
      </c>
      <c r="B424" t="str">
        <f>T("   Togo")</f>
        <v xml:space="preserve">   Togo</v>
      </c>
      <c r="C424">
        <v>75833400</v>
      </c>
      <c r="D424">
        <v>4504</v>
      </c>
    </row>
    <row r="425" spans="1:4" x14ac:dyDescent="0.25">
      <c r="A425" t="str">
        <f>T("300590")</f>
        <v>300590</v>
      </c>
      <c r="B425"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426" spans="1:4" x14ac:dyDescent="0.25">
      <c r="A426" t="str">
        <f>T("   ZZZ_Monde")</f>
        <v xml:space="preserve">   ZZZ_Monde</v>
      </c>
      <c r="B426" t="str">
        <f>T("   ZZZ_Monde")</f>
        <v xml:space="preserve">   ZZZ_Monde</v>
      </c>
      <c r="C426">
        <v>3675500</v>
      </c>
      <c r="D426">
        <v>1445</v>
      </c>
    </row>
    <row r="427" spans="1:4" x14ac:dyDescent="0.25">
      <c r="A427" t="str">
        <f>T("   TG")</f>
        <v xml:space="preserve">   TG</v>
      </c>
      <c r="B427" t="str">
        <f>T("   Togo")</f>
        <v xml:space="preserve">   Togo</v>
      </c>
      <c r="C427">
        <v>3675500</v>
      </c>
      <c r="D427">
        <v>1445</v>
      </c>
    </row>
    <row r="428" spans="1:4" x14ac:dyDescent="0.25">
      <c r="A428" t="str">
        <f>T("320820")</f>
        <v>320820</v>
      </c>
      <c r="B428"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429" spans="1:4" x14ac:dyDescent="0.25">
      <c r="A429" t="str">
        <f>T("   ZZZ_Monde")</f>
        <v xml:space="preserve">   ZZZ_Monde</v>
      </c>
      <c r="B429" t="str">
        <f>T("   ZZZ_Monde")</f>
        <v xml:space="preserve">   ZZZ_Monde</v>
      </c>
      <c r="C429">
        <v>27754044</v>
      </c>
      <c r="D429">
        <v>11917</v>
      </c>
    </row>
    <row r="430" spans="1:4" x14ac:dyDescent="0.25">
      <c r="A430" t="str">
        <f>T("   GH")</f>
        <v xml:space="preserve">   GH</v>
      </c>
      <c r="B430" t="str">
        <f>T("   Ghana")</f>
        <v xml:space="preserve">   Ghana</v>
      </c>
      <c r="C430">
        <v>13104876</v>
      </c>
      <c r="D430">
        <v>6452</v>
      </c>
    </row>
    <row r="431" spans="1:4" x14ac:dyDescent="0.25">
      <c r="A431" t="str">
        <f>T("   TG")</f>
        <v xml:space="preserve">   TG</v>
      </c>
      <c r="B431" t="str">
        <f>T("   Togo")</f>
        <v xml:space="preserve">   Togo</v>
      </c>
      <c r="C431">
        <v>14649168</v>
      </c>
      <c r="D431">
        <v>5465</v>
      </c>
    </row>
    <row r="432" spans="1:4" x14ac:dyDescent="0.25">
      <c r="A432" t="str">
        <f>T("320890")</f>
        <v>320890</v>
      </c>
      <c r="B432"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433" spans="1:4" x14ac:dyDescent="0.25">
      <c r="A433" t="str">
        <f>T("   ZZZ_Monde")</f>
        <v xml:space="preserve">   ZZZ_Monde</v>
      </c>
      <c r="B433" t="str">
        <f>T("   ZZZ_Monde")</f>
        <v xml:space="preserve">   ZZZ_Monde</v>
      </c>
      <c r="C433">
        <v>125801799</v>
      </c>
      <c r="D433">
        <v>47625.5</v>
      </c>
    </row>
    <row r="434" spans="1:4" x14ac:dyDescent="0.25">
      <c r="A434" t="str">
        <f>T("   BF")</f>
        <v xml:space="preserve">   BF</v>
      </c>
      <c r="B434" t="str">
        <f>T("   Burkina Faso")</f>
        <v xml:space="preserve">   Burkina Faso</v>
      </c>
      <c r="C434">
        <v>8138265</v>
      </c>
      <c r="D434">
        <v>2520</v>
      </c>
    </row>
    <row r="435" spans="1:4" x14ac:dyDescent="0.25">
      <c r="A435" t="str">
        <f>T("   NG")</f>
        <v xml:space="preserve">   NG</v>
      </c>
      <c r="B435" t="str">
        <f>T("   Nigéria")</f>
        <v xml:space="preserve">   Nigéria</v>
      </c>
      <c r="C435">
        <v>21199745</v>
      </c>
      <c r="D435">
        <v>14600</v>
      </c>
    </row>
    <row r="436" spans="1:4" x14ac:dyDescent="0.25">
      <c r="A436" t="str">
        <f>T("   TD")</f>
        <v xml:space="preserve">   TD</v>
      </c>
      <c r="B436" t="str">
        <f>T("   Tchad")</f>
        <v xml:space="preserve">   Tchad</v>
      </c>
      <c r="C436">
        <v>24893508</v>
      </c>
      <c r="D436">
        <v>11816.5</v>
      </c>
    </row>
    <row r="437" spans="1:4" x14ac:dyDescent="0.25">
      <c r="A437" t="str">
        <f>T("   TG")</f>
        <v xml:space="preserve">   TG</v>
      </c>
      <c r="B437" t="str">
        <f>T("   Togo")</f>
        <v xml:space="preserve">   Togo</v>
      </c>
      <c r="C437">
        <v>71570281</v>
      </c>
      <c r="D437">
        <v>18689</v>
      </c>
    </row>
    <row r="438" spans="1:4" x14ac:dyDescent="0.25">
      <c r="A438" t="str">
        <f>T("320910")</f>
        <v>320910</v>
      </c>
      <c r="B438" t="str">
        <f>T("Peintures et vernis à base de polymères acryliques ou vinyliques, dispersés ou dissous dans un milieu aqueux")</f>
        <v>Peintures et vernis à base de polymères acryliques ou vinyliques, dispersés ou dissous dans un milieu aqueux</v>
      </c>
    </row>
    <row r="439" spans="1:4" x14ac:dyDescent="0.25">
      <c r="A439" t="str">
        <f>T("   ZZZ_Monde")</f>
        <v xml:space="preserve">   ZZZ_Monde</v>
      </c>
      <c r="B439" t="str">
        <f>T("   ZZZ_Monde")</f>
        <v xml:space="preserve">   ZZZ_Monde</v>
      </c>
      <c r="C439">
        <v>163843399</v>
      </c>
      <c r="D439">
        <v>282190</v>
      </c>
    </row>
    <row r="440" spans="1:4" x14ac:dyDescent="0.25">
      <c r="A440" t="str">
        <f>T("   GH")</f>
        <v xml:space="preserve">   GH</v>
      </c>
      <c r="B440" t="str">
        <f>T("   Ghana")</f>
        <v xml:space="preserve">   Ghana</v>
      </c>
      <c r="C440">
        <v>21989841</v>
      </c>
      <c r="D440">
        <v>36546</v>
      </c>
    </row>
    <row r="441" spans="1:4" x14ac:dyDescent="0.25">
      <c r="A441" t="str">
        <f>T("   TG")</f>
        <v xml:space="preserve">   TG</v>
      </c>
      <c r="B441" t="str">
        <f>T("   Togo")</f>
        <v xml:space="preserve">   Togo</v>
      </c>
      <c r="C441">
        <v>141853558</v>
      </c>
      <c r="D441">
        <v>245644</v>
      </c>
    </row>
    <row r="442" spans="1:4" x14ac:dyDescent="0.25">
      <c r="A442" t="str">
        <f>T("320990")</f>
        <v>320990</v>
      </c>
      <c r="B442"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443" spans="1:4" x14ac:dyDescent="0.25">
      <c r="A443" t="str">
        <f>T("   ZZZ_Monde")</f>
        <v xml:space="preserve">   ZZZ_Monde</v>
      </c>
      <c r="B443" t="str">
        <f>T("   ZZZ_Monde")</f>
        <v xml:space="preserve">   ZZZ_Monde</v>
      </c>
      <c r="C443">
        <v>69633098</v>
      </c>
      <c r="D443">
        <v>154529</v>
      </c>
    </row>
    <row r="444" spans="1:4" x14ac:dyDescent="0.25">
      <c r="A444" t="str">
        <f>T("   GH")</f>
        <v xml:space="preserve">   GH</v>
      </c>
      <c r="B444" t="str">
        <f>T("   Ghana")</f>
        <v xml:space="preserve">   Ghana</v>
      </c>
      <c r="C444">
        <v>40773288</v>
      </c>
      <c r="D444">
        <v>88953</v>
      </c>
    </row>
    <row r="445" spans="1:4" x14ac:dyDescent="0.25">
      <c r="A445" t="str">
        <f>T("   TG")</f>
        <v xml:space="preserve">   TG</v>
      </c>
      <c r="B445" t="str">
        <f>T("   Togo")</f>
        <v xml:space="preserve">   Togo</v>
      </c>
      <c r="C445">
        <v>28859810</v>
      </c>
      <c r="D445">
        <v>65576</v>
      </c>
    </row>
    <row r="446" spans="1:4" x14ac:dyDescent="0.25">
      <c r="A446" t="str">
        <f>T("321000")</f>
        <v>321000</v>
      </c>
      <c r="B446"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447" spans="1:4" x14ac:dyDescent="0.25">
      <c r="A447" t="str">
        <f>T("   ZZZ_Monde")</f>
        <v xml:space="preserve">   ZZZ_Monde</v>
      </c>
      <c r="B447" t="str">
        <f>T("   ZZZ_Monde")</f>
        <v xml:space="preserve">   ZZZ_Monde</v>
      </c>
      <c r="C447">
        <v>22696161</v>
      </c>
      <c r="D447">
        <v>47998</v>
      </c>
    </row>
    <row r="448" spans="1:4" x14ac:dyDescent="0.25">
      <c r="A448" t="str">
        <f>T("   TG")</f>
        <v xml:space="preserve">   TG</v>
      </c>
      <c r="B448" t="str">
        <f>T("   Togo")</f>
        <v xml:space="preserve">   Togo</v>
      </c>
      <c r="C448">
        <v>22696161</v>
      </c>
      <c r="D448">
        <v>47998</v>
      </c>
    </row>
    <row r="449" spans="1:4" x14ac:dyDescent="0.25">
      <c r="A449" t="str">
        <f>T("330210")</f>
        <v>330210</v>
      </c>
      <c r="B449" t="str">
        <f>T("Mélanges de substances odoriférantes et mélanges, y.c. les solutions alcooliques, à base d'une ou de plusieurs de ces substances, des types utilisés comme matières de base pour les industries des produits alimentaires et des boissons")</f>
        <v>Mélanges de substances odoriférantes et mélanges, y.c. les solutions alcooliques, à base d'une ou de plusieurs de ces substances, des types utilisés comme matières de base pour les industries des produits alimentaires et des boissons</v>
      </c>
    </row>
    <row r="450" spans="1:4" x14ac:dyDescent="0.25">
      <c r="A450" t="str">
        <f>T("   ZZZ_Monde")</f>
        <v xml:space="preserve">   ZZZ_Monde</v>
      </c>
      <c r="B450" t="str">
        <f>T("   ZZZ_Monde")</f>
        <v xml:space="preserve">   ZZZ_Monde</v>
      </c>
      <c r="C450">
        <v>15662445</v>
      </c>
      <c r="D450">
        <v>634</v>
      </c>
    </row>
    <row r="451" spans="1:4" x14ac:dyDescent="0.25">
      <c r="A451" t="str">
        <f>T("   TG")</f>
        <v xml:space="preserve">   TG</v>
      </c>
      <c r="B451" t="str">
        <f>T("   Togo")</f>
        <v xml:space="preserve">   Togo</v>
      </c>
      <c r="C451">
        <v>15662445</v>
      </c>
      <c r="D451">
        <v>634</v>
      </c>
    </row>
    <row r="452" spans="1:4" x14ac:dyDescent="0.25">
      <c r="A452" t="str">
        <f>T("330499")</f>
        <v>330499</v>
      </c>
      <c r="B452"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453" spans="1:4" x14ac:dyDescent="0.25">
      <c r="A453" t="str">
        <f>T("   ZZZ_Monde")</f>
        <v xml:space="preserve">   ZZZ_Monde</v>
      </c>
      <c r="B453" t="str">
        <f>T("   ZZZ_Monde")</f>
        <v xml:space="preserve">   ZZZ_Monde</v>
      </c>
      <c r="C453">
        <v>1681500</v>
      </c>
      <c r="D453">
        <v>6050</v>
      </c>
    </row>
    <row r="454" spans="1:4" x14ac:dyDescent="0.25">
      <c r="A454" t="str">
        <f>T("   GA")</f>
        <v xml:space="preserve">   GA</v>
      </c>
      <c r="B454" t="str">
        <f>T("   Gabon")</f>
        <v xml:space="preserve">   Gabon</v>
      </c>
      <c r="C454">
        <v>630000</v>
      </c>
      <c r="D454">
        <v>5250</v>
      </c>
    </row>
    <row r="455" spans="1:4" x14ac:dyDescent="0.25">
      <c r="A455" t="str">
        <f>T("   GN")</f>
        <v xml:space="preserve">   GN</v>
      </c>
      <c r="B455" t="str">
        <f>T("   Guinée")</f>
        <v xml:space="preserve">   Guinée</v>
      </c>
      <c r="C455">
        <v>1051500</v>
      </c>
      <c r="D455">
        <v>800</v>
      </c>
    </row>
    <row r="456" spans="1:4" x14ac:dyDescent="0.25">
      <c r="A456" t="str">
        <f>T("330590")</f>
        <v>330590</v>
      </c>
      <c r="B456" t="str">
        <f>T("PRÉPARATIONS CAPILLAIRES (À L'EXCL. DES SHAMPOOINGS, DES LAQUES POUR CHEVEUX ET DES PRÉPARATIONS POUR L'ONDULATION OU LE DÉFRISAGE PERMANENTS)")</f>
        <v>PRÉPARATIONS CAPILLAIRES (À L'EXCL. DES SHAMPOOINGS, DES LAQUES POUR CHEVEUX ET DES PRÉPARATIONS POUR L'ONDULATION OU LE DÉFRISAGE PERMANENTS)</v>
      </c>
    </row>
    <row r="457" spans="1:4" x14ac:dyDescent="0.25">
      <c r="A457" t="str">
        <f>T("   ZZZ_Monde")</f>
        <v xml:space="preserve">   ZZZ_Monde</v>
      </c>
      <c r="B457" t="str">
        <f>T("   ZZZ_Monde")</f>
        <v xml:space="preserve">   ZZZ_Monde</v>
      </c>
      <c r="C457">
        <v>1900000</v>
      </c>
      <c r="D457">
        <v>2400</v>
      </c>
    </row>
    <row r="458" spans="1:4" x14ac:dyDescent="0.25">
      <c r="A458" t="str">
        <f>T("   GA")</f>
        <v xml:space="preserve">   GA</v>
      </c>
      <c r="B458" t="str">
        <f>T("   Gabon")</f>
        <v xml:space="preserve">   Gabon</v>
      </c>
      <c r="C458">
        <v>1900000</v>
      </c>
      <c r="D458">
        <v>2400</v>
      </c>
    </row>
    <row r="459" spans="1:4" x14ac:dyDescent="0.25">
      <c r="A459" t="str">
        <f>T("340111")</f>
        <v>340111</v>
      </c>
      <c r="B459"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460" spans="1:4" x14ac:dyDescent="0.25">
      <c r="A460" t="str">
        <f>T("   ZZZ_Monde")</f>
        <v xml:space="preserve">   ZZZ_Monde</v>
      </c>
      <c r="B460" t="str">
        <f>T("   ZZZ_Monde")</f>
        <v xml:space="preserve">   ZZZ_Monde</v>
      </c>
      <c r="C460">
        <v>4902960</v>
      </c>
      <c r="D460">
        <v>12000</v>
      </c>
    </row>
    <row r="461" spans="1:4" x14ac:dyDescent="0.25">
      <c r="A461" t="str">
        <f>T("   CG")</f>
        <v xml:space="preserve">   CG</v>
      </c>
      <c r="B461" t="str">
        <f>T("   Congo (Brazzaville)")</f>
        <v xml:space="preserve">   Congo (Brazzaville)</v>
      </c>
      <c r="C461">
        <v>4902960</v>
      </c>
      <c r="D461">
        <v>12000</v>
      </c>
    </row>
    <row r="462" spans="1:4" x14ac:dyDescent="0.25">
      <c r="A462" t="str">
        <f>T("340119")</f>
        <v>340119</v>
      </c>
      <c r="B462"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463" spans="1:4" x14ac:dyDescent="0.25">
      <c r="A463" t="str">
        <f>T("   ZZZ_Monde")</f>
        <v xml:space="preserve">   ZZZ_Monde</v>
      </c>
      <c r="B463" t="str">
        <f>T("   ZZZ_Monde")</f>
        <v xml:space="preserve">   ZZZ_Monde</v>
      </c>
      <c r="C463">
        <v>62600000</v>
      </c>
      <c r="D463">
        <v>80000</v>
      </c>
    </row>
    <row r="464" spans="1:4" x14ac:dyDescent="0.25">
      <c r="A464" t="str">
        <f>T("   NG")</f>
        <v xml:space="preserve">   NG</v>
      </c>
      <c r="B464" t="str">
        <f>T("   Nigéria")</f>
        <v xml:space="preserve">   Nigéria</v>
      </c>
      <c r="C464">
        <v>62600000</v>
      </c>
      <c r="D464">
        <v>80000</v>
      </c>
    </row>
    <row r="465" spans="1:4" x14ac:dyDescent="0.25">
      <c r="A465" t="str">
        <f>T("340120")</f>
        <v>340120</v>
      </c>
      <c r="B465" t="str">
        <f>T("Savons en flocons, en paillettes, en granulés ou en poudres et savons liquides ou pâteux")</f>
        <v>Savons en flocons, en paillettes, en granulés ou en poudres et savons liquides ou pâteux</v>
      </c>
    </row>
    <row r="466" spans="1:4" x14ac:dyDescent="0.25">
      <c r="A466" t="str">
        <f>T("   ZZZ_Monde")</f>
        <v xml:space="preserve">   ZZZ_Monde</v>
      </c>
      <c r="B466" t="str">
        <f>T("   ZZZ_Monde")</f>
        <v xml:space="preserve">   ZZZ_Monde</v>
      </c>
      <c r="C466">
        <v>15000</v>
      </c>
      <c r="D466">
        <v>75</v>
      </c>
    </row>
    <row r="467" spans="1:4" x14ac:dyDescent="0.25">
      <c r="A467" t="str">
        <f>T("   CD")</f>
        <v xml:space="preserve">   CD</v>
      </c>
      <c r="B467" t="str">
        <f>T("   Congo, République Démocratique")</f>
        <v xml:space="preserve">   Congo, République Démocratique</v>
      </c>
      <c r="C467">
        <v>15000</v>
      </c>
      <c r="D467">
        <v>75</v>
      </c>
    </row>
    <row r="468" spans="1:4" x14ac:dyDescent="0.25">
      <c r="A468" t="str">
        <f>T("350510")</f>
        <v>350510</v>
      </c>
      <c r="B468" t="str">
        <f>T("DEXTRINE ET AUTRES AMIDONS ET FÉCULES MODIFIÉS [LES AMIDONS ET FÉCULES PRÉ-GÉLATINISÉS OU ESTÉRIFIÉS, P.EX.]")</f>
        <v>DEXTRINE ET AUTRES AMIDONS ET FÉCULES MODIFIÉS [LES AMIDONS ET FÉCULES PRÉ-GÉLATINISÉS OU ESTÉRIFIÉS, P.EX.]</v>
      </c>
    </row>
    <row r="469" spans="1:4" x14ac:dyDescent="0.25">
      <c r="A469" t="str">
        <f>T("   ZZZ_Monde")</f>
        <v xml:space="preserve">   ZZZ_Monde</v>
      </c>
      <c r="B469" t="str">
        <f>T("   ZZZ_Monde")</f>
        <v xml:space="preserve">   ZZZ_Monde</v>
      </c>
      <c r="C469">
        <v>50063312</v>
      </c>
      <c r="D469">
        <v>68023.63</v>
      </c>
    </row>
    <row r="470" spans="1:4" x14ac:dyDescent="0.25">
      <c r="A470" t="str">
        <f>T("   CI")</f>
        <v xml:space="preserve">   CI</v>
      </c>
      <c r="B470" t="str">
        <f>T("   Côte d'Ivoire")</f>
        <v xml:space="preserve">   Côte d'Ivoire</v>
      </c>
      <c r="C470">
        <v>42435483</v>
      </c>
      <c r="D470">
        <v>57640.82</v>
      </c>
    </row>
    <row r="471" spans="1:4" x14ac:dyDescent="0.25">
      <c r="A471" t="str">
        <f>T("   GH")</f>
        <v xml:space="preserve">   GH</v>
      </c>
      <c r="B471" t="str">
        <f>T("   Ghana")</f>
        <v xml:space="preserve">   Ghana</v>
      </c>
      <c r="C471">
        <v>7627829</v>
      </c>
      <c r="D471">
        <v>10382.81</v>
      </c>
    </row>
    <row r="472" spans="1:4" x14ac:dyDescent="0.25">
      <c r="A472" t="str">
        <f>T("380810")</f>
        <v>380810</v>
      </c>
      <c r="B472" t="str">
        <f>T("Insecticides présentés dans des formes ou emballages de vente au détail ou à l'état de préparations ou sous forme d'articles")</f>
        <v>Insecticides présentés dans des formes ou emballages de vente au détail ou à l'état de préparations ou sous forme d'articles</v>
      </c>
    </row>
    <row r="473" spans="1:4" x14ac:dyDescent="0.25">
      <c r="A473" t="str">
        <f>T("   ZZZ_Monde")</f>
        <v xml:space="preserve">   ZZZ_Monde</v>
      </c>
      <c r="B473" t="str">
        <f>T("   ZZZ_Monde")</f>
        <v xml:space="preserve">   ZZZ_Monde</v>
      </c>
      <c r="C473">
        <v>51985200</v>
      </c>
      <c r="D473">
        <v>136500</v>
      </c>
    </row>
    <row r="474" spans="1:4" x14ac:dyDescent="0.25">
      <c r="A474" t="str">
        <f>T("   NE")</f>
        <v xml:space="preserve">   NE</v>
      </c>
      <c r="B474" t="str">
        <f>T("   Niger")</f>
        <v xml:space="preserve">   Niger</v>
      </c>
      <c r="C474">
        <v>20485200</v>
      </c>
      <c r="D474">
        <v>51000</v>
      </c>
    </row>
    <row r="475" spans="1:4" x14ac:dyDescent="0.25">
      <c r="A475" t="str">
        <f>T("   TG")</f>
        <v xml:space="preserve">   TG</v>
      </c>
      <c r="B475" t="str">
        <f>T("   Togo")</f>
        <v xml:space="preserve">   Togo</v>
      </c>
      <c r="C475">
        <v>31500000</v>
      </c>
      <c r="D475">
        <v>85500</v>
      </c>
    </row>
    <row r="476" spans="1:4" x14ac:dyDescent="0.25">
      <c r="A476" t="str">
        <f>T("380840")</f>
        <v>380840</v>
      </c>
      <c r="B476"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77" spans="1:4" x14ac:dyDescent="0.25">
      <c r="A477" t="str">
        <f>T("   ZZZ_Monde")</f>
        <v xml:space="preserve">   ZZZ_Monde</v>
      </c>
      <c r="B477" t="str">
        <f>T("   ZZZ_Monde")</f>
        <v xml:space="preserve">   ZZZ_Monde</v>
      </c>
      <c r="C477">
        <v>49854192</v>
      </c>
      <c r="D477">
        <v>22800</v>
      </c>
    </row>
    <row r="478" spans="1:4" x14ac:dyDescent="0.25">
      <c r="A478" t="str">
        <f>T("   FR")</f>
        <v xml:space="preserve">   FR</v>
      </c>
      <c r="B478" t="str">
        <f>T("   France")</f>
        <v xml:space="preserve">   France</v>
      </c>
      <c r="C478">
        <v>49854192</v>
      </c>
      <c r="D478">
        <v>22800</v>
      </c>
    </row>
    <row r="479" spans="1:4" x14ac:dyDescent="0.25">
      <c r="A479" t="str">
        <f>T("390120")</f>
        <v>390120</v>
      </c>
      <c r="B479" t="str">
        <f>T("Polyéthylène d'une densité &gt;= 0,94, sous formes primaires")</f>
        <v>Polyéthylène d'une densité &gt;= 0,94, sous formes primaires</v>
      </c>
    </row>
    <row r="480" spans="1:4" x14ac:dyDescent="0.25">
      <c r="A480" t="str">
        <f>T("   ZZZ_Monde")</f>
        <v xml:space="preserve">   ZZZ_Monde</v>
      </c>
      <c r="B480" t="str">
        <f>T("   ZZZ_Monde")</f>
        <v xml:space="preserve">   ZZZ_Monde</v>
      </c>
      <c r="C480">
        <v>42144397</v>
      </c>
      <c r="D480">
        <v>54000</v>
      </c>
    </row>
    <row r="481" spans="1:4" x14ac:dyDescent="0.25">
      <c r="A481" t="str">
        <f>T("   TG")</f>
        <v xml:space="preserve">   TG</v>
      </c>
      <c r="B481" t="str">
        <f>T("   Togo")</f>
        <v xml:space="preserve">   Togo</v>
      </c>
      <c r="C481">
        <v>42144397</v>
      </c>
      <c r="D481">
        <v>54000</v>
      </c>
    </row>
    <row r="482" spans="1:4" x14ac:dyDescent="0.25">
      <c r="A482" t="str">
        <f>T("390410")</f>
        <v>390410</v>
      </c>
      <c r="B482" t="str">
        <f>T("Poly[chlorure de vinyle], sous formes primaires, non mélangé à d'autres substances")</f>
        <v>Poly[chlorure de vinyle], sous formes primaires, non mélangé à d'autres substances</v>
      </c>
    </row>
    <row r="483" spans="1:4" x14ac:dyDescent="0.25">
      <c r="A483" t="str">
        <f>T("   ZZZ_Monde")</f>
        <v xml:space="preserve">   ZZZ_Monde</v>
      </c>
      <c r="B483" t="str">
        <f>T("   ZZZ_Monde")</f>
        <v xml:space="preserve">   ZZZ_Monde</v>
      </c>
      <c r="C483">
        <v>32011306</v>
      </c>
      <c r="D483">
        <v>36000</v>
      </c>
    </row>
    <row r="484" spans="1:4" x14ac:dyDescent="0.25">
      <c r="A484" t="str">
        <f>T("   TG")</f>
        <v xml:space="preserve">   TG</v>
      </c>
      <c r="B484" t="str">
        <f>T("   Togo")</f>
        <v xml:space="preserve">   Togo</v>
      </c>
      <c r="C484">
        <v>32011306</v>
      </c>
      <c r="D484">
        <v>36000</v>
      </c>
    </row>
    <row r="485" spans="1:4" x14ac:dyDescent="0.25">
      <c r="A485" t="str">
        <f>T("391590")</f>
        <v>391590</v>
      </c>
      <c r="B485"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486" spans="1:4" x14ac:dyDescent="0.25">
      <c r="A486" t="str">
        <f>T("   ZZZ_Monde")</f>
        <v xml:space="preserve">   ZZZ_Monde</v>
      </c>
      <c r="B486" t="str">
        <f>T("   ZZZ_Monde")</f>
        <v xml:space="preserve">   ZZZ_Monde</v>
      </c>
      <c r="C486">
        <v>6248750</v>
      </c>
      <c r="D486">
        <v>249950</v>
      </c>
    </row>
    <row r="487" spans="1:4" x14ac:dyDescent="0.25">
      <c r="A487" t="str">
        <f>T("   GH")</f>
        <v xml:space="preserve">   GH</v>
      </c>
      <c r="B487" t="str">
        <f>T("   Ghana")</f>
        <v xml:space="preserve">   Ghana</v>
      </c>
      <c r="C487">
        <v>404375</v>
      </c>
      <c r="D487">
        <v>16175</v>
      </c>
    </row>
    <row r="488" spans="1:4" x14ac:dyDescent="0.25">
      <c r="A488" t="str">
        <f>T("   TG")</f>
        <v xml:space="preserve">   TG</v>
      </c>
      <c r="B488" t="str">
        <f>T("   Togo")</f>
        <v xml:space="preserve">   Togo</v>
      </c>
      <c r="C488">
        <v>5844375</v>
      </c>
      <c r="D488">
        <v>233775</v>
      </c>
    </row>
    <row r="489" spans="1:4" x14ac:dyDescent="0.25">
      <c r="A489" t="str">
        <f>T("391721")</f>
        <v>391721</v>
      </c>
      <c r="B489" t="str">
        <f>T("TUBES ET TUYAUX RIGIDES, EN POLYMÈRES DE L'ÉTHYLÈNE")</f>
        <v>TUBES ET TUYAUX RIGIDES, EN POLYMÈRES DE L'ÉTHYLÈNE</v>
      </c>
    </row>
    <row r="490" spans="1:4" x14ac:dyDescent="0.25">
      <c r="A490" t="str">
        <f>T("   ZZZ_Monde")</f>
        <v xml:space="preserve">   ZZZ_Monde</v>
      </c>
      <c r="B490" t="str">
        <f>T("   ZZZ_Monde")</f>
        <v xml:space="preserve">   ZZZ_Monde</v>
      </c>
      <c r="C490">
        <v>268970297</v>
      </c>
      <c r="D490">
        <v>361596</v>
      </c>
    </row>
    <row r="491" spans="1:4" x14ac:dyDescent="0.25">
      <c r="A491" t="str">
        <f>T("   NE")</f>
        <v xml:space="preserve">   NE</v>
      </c>
      <c r="B491" t="str">
        <f>T("   Niger")</f>
        <v xml:space="preserve">   Niger</v>
      </c>
      <c r="C491">
        <v>20899000</v>
      </c>
      <c r="D491">
        <v>34346</v>
      </c>
    </row>
    <row r="492" spans="1:4" x14ac:dyDescent="0.25">
      <c r="A492" t="str">
        <f>T("   NG")</f>
        <v xml:space="preserve">   NG</v>
      </c>
      <c r="B492" t="str">
        <f>T("   Nigéria")</f>
        <v xml:space="preserve">   Nigéria</v>
      </c>
      <c r="C492">
        <v>190315500</v>
      </c>
      <c r="D492">
        <v>256750</v>
      </c>
    </row>
    <row r="493" spans="1:4" x14ac:dyDescent="0.25">
      <c r="A493" t="str">
        <f>T("   TG")</f>
        <v xml:space="preserve">   TG</v>
      </c>
      <c r="B493" t="str">
        <f>T("   Togo")</f>
        <v xml:space="preserve">   Togo</v>
      </c>
      <c r="C493">
        <v>57755797</v>
      </c>
      <c r="D493">
        <v>70500</v>
      </c>
    </row>
    <row r="494" spans="1:4" x14ac:dyDescent="0.25">
      <c r="A494" t="str">
        <f>T("391722")</f>
        <v>391722</v>
      </c>
      <c r="B494" t="str">
        <f>T("TUBES ET TUYAUX RIGIDES, EN POLYMÈRES DU PROPYLÈNE")</f>
        <v>TUBES ET TUYAUX RIGIDES, EN POLYMÈRES DU PROPYLÈNE</v>
      </c>
    </row>
    <row r="495" spans="1:4" x14ac:dyDescent="0.25">
      <c r="A495" t="str">
        <f>T("   ZZZ_Monde")</f>
        <v xml:space="preserve">   ZZZ_Monde</v>
      </c>
      <c r="B495" t="str">
        <f>T("   ZZZ_Monde")</f>
        <v xml:space="preserve">   ZZZ_Monde</v>
      </c>
      <c r="C495">
        <v>20450000</v>
      </c>
      <c r="D495">
        <v>24750</v>
      </c>
    </row>
    <row r="496" spans="1:4" x14ac:dyDescent="0.25">
      <c r="A496" t="str">
        <f>T("   TG")</f>
        <v xml:space="preserve">   TG</v>
      </c>
      <c r="B496" t="str">
        <f>T("   Togo")</f>
        <v xml:space="preserve">   Togo</v>
      </c>
      <c r="C496">
        <v>20450000</v>
      </c>
      <c r="D496">
        <v>24750</v>
      </c>
    </row>
    <row r="497" spans="1:4" x14ac:dyDescent="0.25">
      <c r="A497" t="str">
        <f>T("391723")</f>
        <v>391723</v>
      </c>
      <c r="B497" t="str">
        <f>T("TUBES ET TUYAUX RIGIDES, EN POLYMÈRES DU CHLORURE DE VINYLE")</f>
        <v>TUBES ET TUYAUX RIGIDES, EN POLYMÈRES DU CHLORURE DE VINYLE</v>
      </c>
    </row>
    <row r="498" spans="1:4" x14ac:dyDescent="0.25">
      <c r="A498" t="str">
        <f>T("   ZZZ_Monde")</f>
        <v xml:space="preserve">   ZZZ_Monde</v>
      </c>
      <c r="B498" t="str">
        <f>T("   ZZZ_Monde")</f>
        <v xml:space="preserve">   ZZZ_Monde</v>
      </c>
      <c r="C498">
        <v>60517896</v>
      </c>
      <c r="D498">
        <v>68557.2</v>
      </c>
    </row>
    <row r="499" spans="1:4" x14ac:dyDescent="0.25">
      <c r="A499" t="str">
        <f>T("   GH")</f>
        <v xml:space="preserve">   GH</v>
      </c>
      <c r="B499" t="str">
        <f>T("   Ghana")</f>
        <v xml:space="preserve">   Ghana</v>
      </c>
      <c r="C499">
        <v>1600000</v>
      </c>
      <c r="D499">
        <v>1537.2</v>
      </c>
    </row>
    <row r="500" spans="1:4" x14ac:dyDescent="0.25">
      <c r="A500" t="str">
        <f>T("   TG")</f>
        <v xml:space="preserve">   TG</v>
      </c>
      <c r="B500" t="str">
        <f>T("   Togo")</f>
        <v xml:space="preserve">   Togo</v>
      </c>
      <c r="C500">
        <v>58917896</v>
      </c>
      <c r="D500">
        <v>67020</v>
      </c>
    </row>
    <row r="501" spans="1:4" x14ac:dyDescent="0.25">
      <c r="A501" t="str">
        <f>T("391739")</f>
        <v>391739</v>
      </c>
      <c r="B501"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502" spans="1:4" x14ac:dyDescent="0.25">
      <c r="A502" t="str">
        <f>T("   ZZZ_Monde")</f>
        <v xml:space="preserve">   ZZZ_Monde</v>
      </c>
      <c r="B502" t="str">
        <f>T("   ZZZ_Monde")</f>
        <v xml:space="preserve">   ZZZ_Monde</v>
      </c>
      <c r="C502">
        <v>28813500</v>
      </c>
      <c r="D502">
        <v>19962.25</v>
      </c>
    </row>
    <row r="503" spans="1:4" x14ac:dyDescent="0.25">
      <c r="A503" t="str">
        <f>T("   GH")</f>
        <v xml:space="preserve">   GH</v>
      </c>
      <c r="B503" t="str">
        <f>T("   Ghana")</f>
        <v xml:space="preserve">   Ghana</v>
      </c>
      <c r="C503">
        <v>27813500</v>
      </c>
      <c r="D503">
        <v>18462.25</v>
      </c>
    </row>
    <row r="504" spans="1:4" x14ac:dyDescent="0.25">
      <c r="A504" t="str">
        <f>T("   GQ")</f>
        <v xml:space="preserve">   GQ</v>
      </c>
      <c r="B504" t="str">
        <f>T("   Guinée Equatoriale")</f>
        <v xml:space="preserve">   Guinée Equatoriale</v>
      </c>
      <c r="C504">
        <v>1000000</v>
      </c>
      <c r="D504">
        <v>1500</v>
      </c>
    </row>
    <row r="505" spans="1:4" x14ac:dyDescent="0.25">
      <c r="A505" t="str">
        <f>T("392020")</f>
        <v>392020</v>
      </c>
      <c r="B505"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506" spans="1:4" x14ac:dyDescent="0.25">
      <c r="A506" t="str">
        <f>T("   ZZZ_Monde")</f>
        <v xml:space="preserve">   ZZZ_Monde</v>
      </c>
      <c r="B506" t="str">
        <f>T("   ZZZ_Monde")</f>
        <v xml:space="preserve">   ZZZ_Monde</v>
      </c>
      <c r="C506">
        <v>261566781</v>
      </c>
      <c r="D506">
        <v>132991</v>
      </c>
    </row>
    <row r="507" spans="1:4" x14ac:dyDescent="0.25">
      <c r="A507" t="str">
        <f>T("   AO")</f>
        <v xml:space="preserve">   AO</v>
      </c>
      <c r="B507" t="str">
        <f>T("   Angola")</f>
        <v xml:space="preserve">   Angola</v>
      </c>
      <c r="C507">
        <v>947260</v>
      </c>
      <c r="D507">
        <v>467</v>
      </c>
    </row>
    <row r="508" spans="1:4" x14ac:dyDescent="0.25">
      <c r="A508" t="str">
        <f>T("   BF")</f>
        <v xml:space="preserve">   BF</v>
      </c>
      <c r="B508" t="str">
        <f>T("   Burkina Faso")</f>
        <v xml:space="preserve">   Burkina Faso</v>
      </c>
      <c r="C508">
        <v>3275218</v>
      </c>
      <c r="D508">
        <v>1600</v>
      </c>
    </row>
    <row r="509" spans="1:4" x14ac:dyDescent="0.25">
      <c r="A509" t="str">
        <f>T("   NE")</f>
        <v xml:space="preserve">   NE</v>
      </c>
      <c r="B509" t="str">
        <f>T("   Niger")</f>
        <v xml:space="preserve">   Niger</v>
      </c>
      <c r="C509">
        <v>65274071</v>
      </c>
      <c r="D509">
        <v>32754</v>
      </c>
    </row>
    <row r="510" spans="1:4" x14ac:dyDescent="0.25">
      <c r="A510" t="str">
        <f>T("   NG")</f>
        <v xml:space="preserve">   NG</v>
      </c>
      <c r="B510" t="str">
        <f>T("   Nigéria")</f>
        <v xml:space="preserve">   Nigéria</v>
      </c>
      <c r="C510">
        <v>166289764</v>
      </c>
      <c r="D510">
        <v>85502</v>
      </c>
    </row>
    <row r="511" spans="1:4" x14ac:dyDescent="0.25">
      <c r="A511" t="str">
        <f>T("   TG")</f>
        <v xml:space="preserve">   TG</v>
      </c>
      <c r="B511" t="str">
        <f>T("   Togo")</f>
        <v xml:space="preserve">   Togo</v>
      </c>
      <c r="C511">
        <v>25780468</v>
      </c>
      <c r="D511">
        <v>12668</v>
      </c>
    </row>
    <row r="512" spans="1:4" x14ac:dyDescent="0.25">
      <c r="A512" t="str">
        <f>T("392329")</f>
        <v>392329</v>
      </c>
      <c r="B512" t="str">
        <f>T("Sacs, sachets, pochettes et cornets, en matières plastiques (autres que les polymères de l'éthylène)")</f>
        <v>Sacs, sachets, pochettes et cornets, en matières plastiques (autres que les polymères de l'éthylène)</v>
      </c>
    </row>
    <row r="513" spans="1:4" x14ac:dyDescent="0.25">
      <c r="A513" t="str">
        <f>T("   ZZZ_Monde")</f>
        <v xml:space="preserve">   ZZZ_Monde</v>
      </c>
      <c r="B513" t="str">
        <f>T("   ZZZ_Monde")</f>
        <v xml:space="preserve">   ZZZ_Monde</v>
      </c>
      <c r="C513">
        <v>36885081</v>
      </c>
      <c r="D513">
        <v>16018</v>
      </c>
    </row>
    <row r="514" spans="1:4" x14ac:dyDescent="0.25">
      <c r="A514" t="str">
        <f>T("   CH")</f>
        <v xml:space="preserve">   CH</v>
      </c>
      <c r="B514" t="str">
        <f>T("   Suisse")</f>
        <v xml:space="preserve">   Suisse</v>
      </c>
      <c r="C514">
        <v>14907613</v>
      </c>
      <c r="D514">
        <v>10133</v>
      </c>
    </row>
    <row r="515" spans="1:4" x14ac:dyDescent="0.25">
      <c r="A515" t="str">
        <f>T("   FR")</f>
        <v xml:space="preserve">   FR</v>
      </c>
      <c r="B515" t="str">
        <f>T("   France")</f>
        <v xml:space="preserve">   France</v>
      </c>
      <c r="C515">
        <v>13345506</v>
      </c>
      <c r="D515">
        <v>18</v>
      </c>
    </row>
    <row r="516" spans="1:4" x14ac:dyDescent="0.25">
      <c r="A516" t="str">
        <f>T("   NL")</f>
        <v xml:space="preserve">   NL</v>
      </c>
      <c r="B516" t="str">
        <f>T("   Pays-bas")</f>
        <v xml:space="preserve">   Pays-bas</v>
      </c>
      <c r="C516">
        <v>3149595</v>
      </c>
      <c r="D516">
        <v>2141</v>
      </c>
    </row>
    <row r="517" spans="1:4" x14ac:dyDescent="0.25">
      <c r="A517" t="str">
        <f>T("   SG")</f>
        <v xml:space="preserve">   SG</v>
      </c>
      <c r="B517" t="str">
        <f>T("   Singapour")</f>
        <v xml:space="preserve">   Singapour</v>
      </c>
      <c r="C517">
        <v>5482367</v>
      </c>
      <c r="D517">
        <v>3726</v>
      </c>
    </row>
    <row r="518" spans="1:4" x14ac:dyDescent="0.25">
      <c r="A518" t="str">
        <f>T("392330")</f>
        <v>392330</v>
      </c>
      <c r="B518" t="str">
        <f>T("Bonbonnes, bouteilles, flacons et articles simil. pour le transport ou l'emballage, en matières plastiques")</f>
        <v>Bonbonnes, bouteilles, flacons et articles simil. pour le transport ou l'emballage, en matières plastiques</v>
      </c>
    </row>
    <row r="519" spans="1:4" x14ac:dyDescent="0.25">
      <c r="A519" t="str">
        <f>T("   ZZZ_Monde")</f>
        <v xml:space="preserve">   ZZZ_Monde</v>
      </c>
      <c r="B519" t="str">
        <f>T("   ZZZ_Monde")</f>
        <v xml:space="preserve">   ZZZ_Monde</v>
      </c>
      <c r="C519">
        <v>1308000</v>
      </c>
      <c r="D519">
        <v>90</v>
      </c>
    </row>
    <row r="520" spans="1:4" x14ac:dyDescent="0.25">
      <c r="A520" t="str">
        <f>T("   CG")</f>
        <v xml:space="preserve">   CG</v>
      </c>
      <c r="B520" t="str">
        <f>T("   Congo (Brazzaville)")</f>
        <v xml:space="preserve">   Congo (Brazzaville)</v>
      </c>
      <c r="C520">
        <v>1308000</v>
      </c>
      <c r="D520">
        <v>90</v>
      </c>
    </row>
    <row r="521" spans="1:4" x14ac:dyDescent="0.25">
      <c r="A521" t="str">
        <f>T("392390")</f>
        <v>392390</v>
      </c>
      <c r="B521"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522" spans="1:4" x14ac:dyDescent="0.25">
      <c r="A522" t="str">
        <f>T("   ZZZ_Monde")</f>
        <v xml:space="preserve">   ZZZ_Monde</v>
      </c>
      <c r="B522" t="str">
        <f>T("   ZZZ_Monde")</f>
        <v xml:space="preserve">   ZZZ_Monde</v>
      </c>
      <c r="C522">
        <v>65444628</v>
      </c>
      <c r="D522">
        <v>28467</v>
      </c>
    </row>
    <row r="523" spans="1:4" x14ac:dyDescent="0.25">
      <c r="A523" t="str">
        <f>T("   MY")</f>
        <v xml:space="preserve">   MY</v>
      </c>
      <c r="B523" t="str">
        <f>T("   Malaisie")</f>
        <v xml:space="preserve">   Malaisie</v>
      </c>
      <c r="C523">
        <v>60297298</v>
      </c>
      <c r="D523">
        <v>26194</v>
      </c>
    </row>
    <row r="524" spans="1:4" x14ac:dyDescent="0.25">
      <c r="A524" t="str">
        <f>T("   SN")</f>
        <v xml:space="preserve">   SN</v>
      </c>
      <c r="B524" t="str">
        <f>T("   Sénégal")</f>
        <v xml:space="preserve">   Sénégal</v>
      </c>
      <c r="C524">
        <v>5147330</v>
      </c>
      <c r="D524">
        <v>2273</v>
      </c>
    </row>
    <row r="525" spans="1:4" x14ac:dyDescent="0.25">
      <c r="A525" t="str">
        <f>T("392490")</f>
        <v>392490</v>
      </c>
      <c r="B525"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526" spans="1:4" x14ac:dyDescent="0.25">
      <c r="A526" t="str">
        <f>T("   ZZZ_Monde")</f>
        <v xml:space="preserve">   ZZZ_Monde</v>
      </c>
      <c r="B526" t="str">
        <f>T("   ZZZ_Monde")</f>
        <v xml:space="preserve">   ZZZ_Monde</v>
      </c>
      <c r="C526">
        <v>2560000</v>
      </c>
      <c r="D526">
        <v>22310</v>
      </c>
    </row>
    <row r="527" spans="1:4" x14ac:dyDescent="0.25">
      <c r="A527" t="str">
        <f>T("   GA")</f>
        <v xml:space="preserve">   GA</v>
      </c>
      <c r="B527" t="str">
        <f>T("   Gabon")</f>
        <v xml:space="preserve">   Gabon</v>
      </c>
      <c r="C527">
        <v>2560000</v>
      </c>
      <c r="D527">
        <v>22310</v>
      </c>
    </row>
    <row r="528" spans="1:4" x14ac:dyDescent="0.25">
      <c r="A528" t="str">
        <f>T("392620")</f>
        <v>392620</v>
      </c>
      <c r="B528" t="str">
        <f>T("Vêtements et accessoires du vêtement, y.c. les gants, mitaines et moufles, fabriqués par couture ou collage à partir de feuilles en matières plastiques")</f>
        <v>Vêtements et accessoires du vêtement, y.c. les gants, mitaines et moufles, fabriqués par couture ou collage à partir de feuilles en matières plastiques</v>
      </c>
    </row>
    <row r="529" spans="1:4" x14ac:dyDescent="0.25">
      <c r="A529" t="str">
        <f>T("   ZZZ_Monde")</f>
        <v xml:space="preserve">   ZZZ_Monde</v>
      </c>
      <c r="B529" t="str">
        <f>T("   ZZZ_Monde")</f>
        <v xml:space="preserve">   ZZZ_Monde</v>
      </c>
      <c r="C529">
        <v>1693689</v>
      </c>
      <c r="D529">
        <v>343</v>
      </c>
    </row>
    <row r="530" spans="1:4" x14ac:dyDescent="0.25">
      <c r="A530" t="str">
        <f>T("   GA")</f>
        <v xml:space="preserve">   GA</v>
      </c>
      <c r="B530" t="str">
        <f>T("   Gabon")</f>
        <v xml:space="preserve">   Gabon</v>
      </c>
      <c r="C530">
        <v>1693689</v>
      </c>
      <c r="D530">
        <v>343</v>
      </c>
    </row>
    <row r="531" spans="1:4" x14ac:dyDescent="0.25">
      <c r="A531" t="str">
        <f>T("392690")</f>
        <v>392690</v>
      </c>
      <c r="B531" t="str">
        <f>T("Ouvrages en matières plastiques et ouvrages en autres matières du n° 3901 à 3914, n.d.a.")</f>
        <v>Ouvrages en matières plastiques et ouvrages en autres matières du n° 3901 à 3914, n.d.a.</v>
      </c>
    </row>
    <row r="532" spans="1:4" x14ac:dyDescent="0.25">
      <c r="A532" t="str">
        <f>T("   ZZZ_Monde")</f>
        <v xml:space="preserve">   ZZZ_Monde</v>
      </c>
      <c r="B532" t="str">
        <f>T("   ZZZ_Monde")</f>
        <v xml:space="preserve">   ZZZ_Monde</v>
      </c>
      <c r="C532">
        <v>513117</v>
      </c>
      <c r="D532">
        <v>99</v>
      </c>
    </row>
    <row r="533" spans="1:4" x14ac:dyDescent="0.25">
      <c r="A533" t="str">
        <f>T("   GB")</f>
        <v xml:space="preserve">   GB</v>
      </c>
      <c r="B533" t="str">
        <f>T("   Royaume-Uni")</f>
        <v xml:space="preserve">   Royaume-Uni</v>
      </c>
      <c r="C533">
        <v>513117</v>
      </c>
      <c r="D533">
        <v>99</v>
      </c>
    </row>
    <row r="534" spans="1:4" x14ac:dyDescent="0.25">
      <c r="A534" t="str">
        <f>T("401019")</f>
        <v>401019</v>
      </c>
      <c r="B534"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535" spans="1:4" x14ac:dyDescent="0.25">
      <c r="A535" t="str">
        <f>T("   ZZZ_Monde")</f>
        <v xml:space="preserve">   ZZZ_Monde</v>
      </c>
      <c r="B535" t="str">
        <f>T("   ZZZ_Monde")</f>
        <v xml:space="preserve">   ZZZ_Monde</v>
      </c>
      <c r="C535">
        <v>14121000</v>
      </c>
      <c r="D535">
        <v>13551</v>
      </c>
    </row>
    <row r="536" spans="1:4" x14ac:dyDescent="0.25">
      <c r="A536" t="str">
        <f>T("   GH")</f>
        <v xml:space="preserve">   GH</v>
      </c>
      <c r="B536" t="str">
        <f>T("   Ghana")</f>
        <v xml:space="preserve">   Ghana</v>
      </c>
      <c r="C536">
        <v>5320500</v>
      </c>
      <c r="D536">
        <v>7800</v>
      </c>
    </row>
    <row r="537" spans="1:4" x14ac:dyDescent="0.25">
      <c r="A537" t="str">
        <f>T("   TG")</f>
        <v xml:space="preserve">   TG</v>
      </c>
      <c r="B537" t="str">
        <f>T("   Togo")</f>
        <v xml:space="preserve">   Togo</v>
      </c>
      <c r="C537">
        <v>8800500</v>
      </c>
      <c r="D537">
        <v>5751</v>
      </c>
    </row>
    <row r="538" spans="1:4" x14ac:dyDescent="0.25">
      <c r="A538" t="str">
        <f>T("401120")</f>
        <v>401120</v>
      </c>
      <c r="B538"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539" spans="1:4" x14ac:dyDescent="0.25">
      <c r="A539" t="str">
        <f>T("   ZZZ_Monde")</f>
        <v xml:space="preserve">   ZZZ_Monde</v>
      </c>
      <c r="B539" t="str">
        <f>T("   ZZZ_Monde")</f>
        <v xml:space="preserve">   ZZZ_Monde</v>
      </c>
      <c r="C539">
        <v>1500000</v>
      </c>
      <c r="D539">
        <v>1120</v>
      </c>
    </row>
    <row r="540" spans="1:4" x14ac:dyDescent="0.25">
      <c r="A540" t="str">
        <f>T("   NE")</f>
        <v xml:space="preserve">   NE</v>
      </c>
      <c r="B540" t="str">
        <f>T("   Niger")</f>
        <v xml:space="preserve">   Niger</v>
      </c>
      <c r="C540">
        <v>1500000</v>
      </c>
      <c r="D540">
        <v>1120</v>
      </c>
    </row>
    <row r="541" spans="1:4" x14ac:dyDescent="0.25">
      <c r="A541" t="str">
        <f>T("401219")</f>
        <v>401219</v>
      </c>
      <c r="B541" t="str">
        <f>T("Pneumatiques rechapés, en caoutchouc (à l'excl. des pneumatiques des types utilisés pour les voitures de tourisme, les voitures du type 'break', les voitures de course, les autobus, les camions ou les véhicules aériens)")</f>
        <v>Pneumatiques rechapés, en caoutchouc (à l'excl. des pneumatiques des types utilisés pour les voitures de tourisme, les voitures du type 'break', les voitures de course, les autobus, les camions ou les véhicules aériens)</v>
      </c>
    </row>
    <row r="542" spans="1:4" x14ac:dyDescent="0.25">
      <c r="A542" t="str">
        <f>T("   ZZZ_Monde")</f>
        <v xml:space="preserve">   ZZZ_Monde</v>
      </c>
      <c r="B542" t="str">
        <f>T("   ZZZ_Monde")</f>
        <v xml:space="preserve">   ZZZ_Monde</v>
      </c>
      <c r="C542">
        <v>7225980</v>
      </c>
      <c r="D542">
        <v>8850</v>
      </c>
    </row>
    <row r="543" spans="1:4" x14ac:dyDescent="0.25">
      <c r="A543" t="str">
        <f>T("   GQ")</f>
        <v xml:space="preserve">   GQ</v>
      </c>
      <c r="B543" t="str">
        <f>T("   Guinée Equatoriale")</f>
        <v xml:space="preserve">   Guinée Equatoriale</v>
      </c>
      <c r="C543">
        <v>2400000</v>
      </c>
      <c r="D543">
        <v>8000</v>
      </c>
    </row>
    <row r="544" spans="1:4" x14ac:dyDescent="0.25">
      <c r="A544" t="str">
        <f>T("   TG")</f>
        <v xml:space="preserve">   TG</v>
      </c>
      <c r="B544" t="str">
        <f>T("   Togo")</f>
        <v xml:space="preserve">   Togo</v>
      </c>
      <c r="C544">
        <v>4825980</v>
      </c>
      <c r="D544">
        <v>850</v>
      </c>
    </row>
    <row r="545" spans="1:4" x14ac:dyDescent="0.25">
      <c r="A545" t="str">
        <f>T("401220")</f>
        <v>401220</v>
      </c>
      <c r="B545" t="str">
        <f>T("Pneumatiques usagés, en caoutchouc")</f>
        <v>Pneumatiques usagés, en caoutchouc</v>
      </c>
    </row>
    <row r="546" spans="1:4" x14ac:dyDescent="0.25">
      <c r="A546" t="str">
        <f>T("   ZZZ_Monde")</f>
        <v xml:space="preserve">   ZZZ_Monde</v>
      </c>
      <c r="B546" t="str">
        <f>T("   ZZZ_Monde")</f>
        <v xml:space="preserve">   ZZZ_Monde</v>
      </c>
      <c r="C546">
        <v>4800000</v>
      </c>
      <c r="D546">
        <v>22000</v>
      </c>
    </row>
    <row r="547" spans="1:4" x14ac:dyDescent="0.25">
      <c r="A547" t="str">
        <f>T("   CG")</f>
        <v xml:space="preserve">   CG</v>
      </c>
      <c r="B547" t="str">
        <f>T("   Congo (Brazzaville)")</f>
        <v xml:space="preserve">   Congo (Brazzaville)</v>
      </c>
      <c r="C547">
        <v>4800000</v>
      </c>
      <c r="D547">
        <v>22000</v>
      </c>
    </row>
    <row r="548" spans="1:4" x14ac:dyDescent="0.25">
      <c r="A548" t="str">
        <f>T("410621")</f>
        <v>410621</v>
      </c>
      <c r="B548" t="str">
        <f>T("CUIRS ET PEAUX DE CAPRINS, À L'ÉTAT HUMIDE [Y.C. 'WET-BLUE'], TANNÉS, ÉPILÉS, MÊME REFENDUS (SAUF AUTREMENT PRÉPARÉS AINSI QUE SIMPL. PRÉTANNÉS)")</f>
        <v>CUIRS ET PEAUX DE CAPRINS, À L'ÉTAT HUMIDE [Y.C. 'WET-BLUE'], TANNÉS, ÉPILÉS, MÊME REFENDUS (SAUF AUTREMENT PRÉPARÉS AINSI QUE SIMPL. PRÉTANNÉS)</v>
      </c>
    </row>
    <row r="549" spans="1:4" x14ac:dyDescent="0.25">
      <c r="A549" t="str">
        <f>T("   ZZZ_Monde")</f>
        <v xml:space="preserve">   ZZZ_Monde</v>
      </c>
      <c r="B549" t="str">
        <f>T("   ZZZ_Monde")</f>
        <v xml:space="preserve">   ZZZ_Monde</v>
      </c>
      <c r="C549">
        <v>5779500</v>
      </c>
      <c r="D549">
        <v>17708</v>
      </c>
    </row>
    <row r="550" spans="1:4" x14ac:dyDescent="0.25">
      <c r="A550" t="str">
        <f>T("   MA")</f>
        <v xml:space="preserve">   MA</v>
      </c>
      <c r="B550" t="str">
        <f>T("   Maroc")</f>
        <v xml:space="preserve">   Maroc</v>
      </c>
      <c r="C550">
        <v>5779500</v>
      </c>
      <c r="D550">
        <v>17708</v>
      </c>
    </row>
    <row r="551" spans="1:4" x14ac:dyDescent="0.25">
      <c r="A551" t="str">
        <f>T("410692")</f>
        <v>410692</v>
      </c>
      <c r="B551" t="str">
        <f>T("CUIRS ET PEAUX ÉPILÉS D'ANTILOPES, DE CHEVREUILS, D'ÉLANS, D'ÉLÉPHANTS ET D'AUTRES ANIMAUX, Y.C. LES ANIMAUX AQUATIQUES, ET PEAUX D'ANIMAUX DÉPOURVUS DE POILS, À L'ÉTAT SEC [EN CRO¹TE], MÊME REFENDUS (SAUF AUTREMENT PRÉPARÉS AINSI QUE SIMPLEMENT PRÉTANNÉS")</f>
        <v>CUIRS ET PEAUX ÉPILÉS D'ANTILOPES, DE CHEVREUILS, D'ÉLANS, D'ÉLÉPHANTS ET D'AUTRES ANIMAUX, Y.C. LES ANIMAUX AQUATIQUES, ET PEAUX D'ANIMAUX DÉPOURVUS DE POILS, À L'ÉTAT SEC [EN CRO¹TE], MÊME REFENDUS (SAUF AUTREMENT PRÉPARÉS AINSI QUE SIMPLEMENT PRÉTANNÉS</v>
      </c>
    </row>
    <row r="552" spans="1:4" x14ac:dyDescent="0.25">
      <c r="A552" t="str">
        <f>T("   ZZZ_Monde")</f>
        <v xml:space="preserve">   ZZZ_Monde</v>
      </c>
      <c r="B552" t="str">
        <f>T("   ZZZ_Monde")</f>
        <v xml:space="preserve">   ZZZ_Monde</v>
      </c>
      <c r="C552">
        <v>10000000</v>
      </c>
      <c r="D552">
        <v>8851</v>
      </c>
    </row>
    <row r="553" spans="1:4" x14ac:dyDescent="0.25">
      <c r="A553" t="str">
        <f>T("   ES")</f>
        <v xml:space="preserve">   ES</v>
      </c>
      <c r="B553" t="str">
        <f>T("   Espagne")</f>
        <v xml:space="preserve">   Espagne</v>
      </c>
      <c r="C553">
        <v>10000000</v>
      </c>
      <c r="D553">
        <v>8851</v>
      </c>
    </row>
    <row r="554" spans="1:4" x14ac:dyDescent="0.25">
      <c r="A554" t="str">
        <f>T("420299")</f>
        <v>420299</v>
      </c>
      <c r="B554"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55" spans="1:4" x14ac:dyDescent="0.25">
      <c r="A555" t="str">
        <f>T("   ZZZ_Monde")</f>
        <v xml:space="preserve">   ZZZ_Monde</v>
      </c>
      <c r="B555" t="str">
        <f>T("   ZZZ_Monde")</f>
        <v xml:space="preserve">   ZZZ_Monde</v>
      </c>
      <c r="C555">
        <v>98394</v>
      </c>
      <c r="D555">
        <v>100</v>
      </c>
    </row>
    <row r="556" spans="1:4" x14ac:dyDescent="0.25">
      <c r="A556" t="str">
        <f>T("   FR")</f>
        <v xml:space="preserve">   FR</v>
      </c>
      <c r="B556" t="str">
        <f>T("   France")</f>
        <v xml:space="preserve">   France</v>
      </c>
      <c r="C556">
        <v>98394</v>
      </c>
      <c r="D556">
        <v>100</v>
      </c>
    </row>
    <row r="557" spans="1:4" x14ac:dyDescent="0.25">
      <c r="A557" t="str">
        <f>T("420310")</f>
        <v>420310</v>
      </c>
      <c r="B557" t="str">
        <f>T("Vêtements, en cuir naturel ou reconstitué (à l'excl. des accessoires du vêtement, des chaussures ou des coiffures et leurs parties ainsi que des articles du chapitre 95 [p.ex.les protège-tibias ou les masques d'escrime])")</f>
        <v>Vêtements, en cuir naturel ou reconstitué (à l'excl. des accessoires du vêtement, des chaussures ou des coiffures et leurs parties ainsi que des articles du chapitre 95 [p.ex.les protège-tibias ou les masques d'escrime])</v>
      </c>
    </row>
    <row r="558" spans="1:4" x14ac:dyDescent="0.25">
      <c r="A558" t="str">
        <f>T("   ZZZ_Monde")</f>
        <v xml:space="preserve">   ZZZ_Monde</v>
      </c>
      <c r="B558" t="str">
        <f>T("   ZZZ_Monde")</f>
        <v xml:space="preserve">   ZZZ_Monde</v>
      </c>
      <c r="C558">
        <v>7190250</v>
      </c>
      <c r="D558">
        <v>1940.6</v>
      </c>
    </row>
    <row r="559" spans="1:4" x14ac:dyDescent="0.25">
      <c r="A559" t="str">
        <f>T("   BE")</f>
        <v xml:space="preserve">   BE</v>
      </c>
      <c r="B559" t="str">
        <f>T("   Belgique")</f>
        <v xml:space="preserve">   Belgique</v>
      </c>
      <c r="C559">
        <v>7190250</v>
      </c>
      <c r="D559">
        <v>1940.6</v>
      </c>
    </row>
    <row r="560" spans="1:4" x14ac:dyDescent="0.25">
      <c r="A560" t="str">
        <f>T("440200")</f>
        <v>440200</v>
      </c>
      <c r="B560" t="str">
        <f>T("Charbon de bois - y.c. le charbon de coques ou de noix -, même aggloméré (à l'excl. des fusains et du charbon de bois conditionné comme médicament, mélangé d'encens ou activé)")</f>
        <v>Charbon de bois - y.c. le charbon de coques ou de noix -, même aggloméré (à l'excl. des fusains et du charbon de bois conditionné comme médicament, mélangé d'encens ou activé)</v>
      </c>
    </row>
    <row r="561" spans="1:4" x14ac:dyDescent="0.25">
      <c r="A561" t="str">
        <f>T("   ZZZ_Monde")</f>
        <v xml:space="preserve">   ZZZ_Monde</v>
      </c>
      <c r="B561" t="str">
        <f>T("   ZZZ_Monde")</f>
        <v xml:space="preserve">   ZZZ_Monde</v>
      </c>
      <c r="C561">
        <v>7074900</v>
      </c>
      <c r="D561">
        <v>101040</v>
      </c>
    </row>
    <row r="562" spans="1:4" x14ac:dyDescent="0.25">
      <c r="A562" t="str">
        <f>T("   CI")</f>
        <v xml:space="preserve">   CI</v>
      </c>
      <c r="B562" t="str">
        <f>T("   Côte d'Ivoire")</f>
        <v xml:space="preserve">   Côte d'Ivoire</v>
      </c>
      <c r="C562">
        <v>750000</v>
      </c>
      <c r="D562">
        <v>15000</v>
      </c>
    </row>
    <row r="563" spans="1:4" x14ac:dyDescent="0.25">
      <c r="A563" t="str">
        <f>T("   LB")</f>
        <v xml:space="preserve">   LB</v>
      </c>
      <c r="B563" t="str">
        <f>T("   Liban")</f>
        <v xml:space="preserve">   Liban</v>
      </c>
      <c r="C563">
        <v>6324900</v>
      </c>
      <c r="D563">
        <v>86040</v>
      </c>
    </row>
    <row r="564" spans="1:4" x14ac:dyDescent="0.25">
      <c r="A564" t="str">
        <f>T("440349")</f>
        <v>440349</v>
      </c>
      <c r="B564" t="str">
        <f>T("Bois bruts des bois tropicaux visés à la note 1 de sous-position du présent chapitre, même écorcés, désaubiérés ou équarris (à l'excl. des bois de dark red meranti, light red meranti, meranti bakau, des bois traités avec une peinture, de la créosote ou d'")</f>
        <v>Bois bruts des bois tropicaux visés à la note 1 de sous-position du présent chapitre, même écorcés, désaubiérés ou équarris (à l'excl. des bois de dark red meranti, light red meranti, meranti bakau, des bois traités avec une peinture, de la créosote ou d'</v>
      </c>
    </row>
    <row r="565" spans="1:4" x14ac:dyDescent="0.25">
      <c r="A565" t="str">
        <f>T("   ZZZ_Monde")</f>
        <v xml:space="preserve">   ZZZ_Monde</v>
      </c>
      <c r="B565" t="str">
        <f>T("   ZZZ_Monde")</f>
        <v xml:space="preserve">   ZZZ_Monde</v>
      </c>
      <c r="C565">
        <v>6000000</v>
      </c>
      <c r="D565">
        <v>500000</v>
      </c>
    </row>
    <row r="566" spans="1:4" x14ac:dyDescent="0.25">
      <c r="A566" t="str">
        <f>T("   CN")</f>
        <v xml:space="preserve">   CN</v>
      </c>
      <c r="B566" t="str">
        <f>T("   Chine")</f>
        <v xml:space="preserve">   Chine</v>
      </c>
      <c r="C566">
        <v>5500000</v>
      </c>
      <c r="D566">
        <v>490000</v>
      </c>
    </row>
    <row r="567" spans="1:4" x14ac:dyDescent="0.25">
      <c r="A567" t="str">
        <f>T("   IN")</f>
        <v xml:space="preserve">   IN</v>
      </c>
      <c r="B567" t="str">
        <f>T("   Inde")</f>
        <v xml:space="preserve">   Inde</v>
      </c>
      <c r="C567">
        <v>500000</v>
      </c>
      <c r="D567">
        <v>10000</v>
      </c>
    </row>
    <row r="568" spans="1:4" x14ac:dyDescent="0.25">
      <c r="A568" t="str">
        <f>T("440399")</f>
        <v>440399</v>
      </c>
      <c r="B568" t="str">
        <f>T("BOIS BRUTS, MÊME ÉCORCÉS, DÉSAUBIÉRÉS OU ÉQUARRIS (SAUF BOIS DE CONIFÈRES, BOIS DE CHÊNE 'QUERCUS SPP.' OU DE HÊTRE 'FAGUS SPP.', BOIS TROPICAUX VISÉS À LA NOTE 1 DE SOUS-POSITION DU PRÉSENT CHAPITRE, BOIS SIMPL. DÉGROSSIS OU ARRONDIS POUR CANNES, PARAPLU")</f>
        <v>BOIS BRUTS, MÊME ÉCORCÉS, DÉSAUBIÉRÉS OU ÉQUARRIS (SAUF BOIS DE CONIFÈRES, BOIS DE CHÊNE 'QUERCUS SPP.' OU DE HÊTRE 'FAGUS SPP.', BOIS TROPICAUX VISÉS À LA NOTE 1 DE SOUS-POSITION DU PRÉSENT CHAPITRE, BOIS SIMPL. DÉGROSSIS OU ARRONDIS POUR CANNES, PARAPLU</v>
      </c>
    </row>
    <row r="569" spans="1:4" x14ac:dyDescent="0.25">
      <c r="A569" t="str">
        <f>T("   ZZZ_Monde")</f>
        <v xml:space="preserve">   ZZZ_Monde</v>
      </c>
      <c r="B569" t="str">
        <f>T("   ZZZ_Monde")</f>
        <v xml:space="preserve">   ZZZ_Monde</v>
      </c>
      <c r="C569">
        <v>3506511640</v>
      </c>
      <c r="D569">
        <v>88889892</v>
      </c>
    </row>
    <row r="570" spans="1:4" x14ac:dyDescent="0.25">
      <c r="A570" t="str">
        <f>T("   AE")</f>
        <v xml:space="preserve">   AE</v>
      </c>
      <c r="B570" t="str">
        <f>T("   Emirats Arabes Unis")</f>
        <v xml:space="preserve">   Emirats Arabes Unis</v>
      </c>
      <c r="C570">
        <v>3000000</v>
      </c>
      <c r="D570">
        <v>60000</v>
      </c>
    </row>
    <row r="571" spans="1:4" x14ac:dyDescent="0.25">
      <c r="A571" t="str">
        <f>T("   CH")</f>
        <v xml:space="preserve">   CH</v>
      </c>
      <c r="B571" t="str">
        <f>T("   Suisse")</f>
        <v xml:space="preserve">   Suisse</v>
      </c>
      <c r="C571">
        <v>60220000</v>
      </c>
      <c r="D571">
        <v>1204400</v>
      </c>
    </row>
    <row r="572" spans="1:4" x14ac:dyDescent="0.25">
      <c r="A572" t="str">
        <f>T("   CN")</f>
        <v xml:space="preserve">   CN</v>
      </c>
      <c r="B572" t="str">
        <f>T("   Chine")</f>
        <v xml:space="preserve">   Chine</v>
      </c>
      <c r="C572">
        <v>2119601800</v>
      </c>
      <c r="D572">
        <v>65865613</v>
      </c>
    </row>
    <row r="573" spans="1:4" x14ac:dyDescent="0.25">
      <c r="A573" t="str">
        <f>T("   DE")</f>
        <v xml:space="preserve">   DE</v>
      </c>
      <c r="B573" t="str">
        <f>T("   Allemagne")</f>
        <v xml:space="preserve">   Allemagne</v>
      </c>
      <c r="C573">
        <v>500000</v>
      </c>
      <c r="D573">
        <v>10000</v>
      </c>
    </row>
    <row r="574" spans="1:4" x14ac:dyDescent="0.25">
      <c r="A574" t="str">
        <f>T("   ES")</f>
        <v xml:space="preserve">   ES</v>
      </c>
      <c r="B574" t="str">
        <f>T("   Espagne")</f>
        <v xml:space="preserve">   Espagne</v>
      </c>
      <c r="C574">
        <v>1000000</v>
      </c>
      <c r="D574">
        <v>20000</v>
      </c>
    </row>
    <row r="575" spans="1:4" x14ac:dyDescent="0.25">
      <c r="A575" t="str">
        <f>T("   IN")</f>
        <v xml:space="preserve">   IN</v>
      </c>
      <c r="B575" t="str">
        <f>T("   Inde")</f>
        <v xml:space="preserve">   Inde</v>
      </c>
      <c r="C575">
        <v>1289813400</v>
      </c>
      <c r="D575">
        <v>21340759</v>
      </c>
    </row>
    <row r="576" spans="1:4" x14ac:dyDescent="0.25">
      <c r="A576" t="str">
        <f>T("   KR")</f>
        <v xml:space="preserve">   KR</v>
      </c>
      <c r="B576" t="str">
        <f>T("   Corée, République de")</f>
        <v xml:space="preserve">   Corée, République de</v>
      </c>
      <c r="C576">
        <v>9166000</v>
      </c>
      <c r="D576">
        <v>91660</v>
      </c>
    </row>
    <row r="577" spans="1:4" x14ac:dyDescent="0.25">
      <c r="A577" t="str">
        <f>T("   NL")</f>
        <v xml:space="preserve">   NL</v>
      </c>
      <c r="B577" t="str">
        <f>T("   Pays-bas")</f>
        <v xml:space="preserve">   Pays-bas</v>
      </c>
      <c r="C577">
        <v>10737440</v>
      </c>
      <c r="D577">
        <v>48000</v>
      </c>
    </row>
    <row r="578" spans="1:4" x14ac:dyDescent="0.25">
      <c r="A578" t="str">
        <f>T("   VN")</f>
        <v xml:space="preserve">   VN</v>
      </c>
      <c r="B578" t="str">
        <f>T("   Vietnam")</f>
        <v xml:space="preserve">   Vietnam</v>
      </c>
      <c r="C578">
        <v>12473000</v>
      </c>
      <c r="D578">
        <v>249460</v>
      </c>
    </row>
    <row r="579" spans="1:4" x14ac:dyDescent="0.25">
      <c r="A579" t="str">
        <f>T("440500")</f>
        <v>440500</v>
      </c>
      <c r="B579" t="str">
        <f>T("Laine [paille] de bois; farine de bois, c'est-à-dire la poudre de bois passant, avec au maximum 8% en poids de déchets, au tamis ayant une ouverture de mailles de 0,63 mm")</f>
        <v>Laine [paille] de bois; farine de bois, c'est-à-dire la poudre de bois passant, avec au maximum 8% en poids de déchets, au tamis ayant une ouverture de mailles de 0,63 mm</v>
      </c>
    </row>
    <row r="580" spans="1:4" x14ac:dyDescent="0.25">
      <c r="A580" t="str">
        <f>T("   ZZZ_Monde")</f>
        <v xml:space="preserve">   ZZZ_Monde</v>
      </c>
      <c r="B580" t="str">
        <f>T("   ZZZ_Monde")</f>
        <v xml:space="preserve">   ZZZ_Monde</v>
      </c>
      <c r="C580">
        <v>143991500</v>
      </c>
      <c r="D580">
        <v>2977730</v>
      </c>
    </row>
    <row r="581" spans="1:4" x14ac:dyDescent="0.25">
      <c r="A581" t="str">
        <f>T("   CH")</f>
        <v xml:space="preserve">   CH</v>
      </c>
      <c r="B581" t="str">
        <f>T("   Suisse")</f>
        <v xml:space="preserve">   Suisse</v>
      </c>
      <c r="C581">
        <v>500000</v>
      </c>
      <c r="D581">
        <v>10000</v>
      </c>
    </row>
    <row r="582" spans="1:4" x14ac:dyDescent="0.25">
      <c r="A582" t="str">
        <f>T("   CN")</f>
        <v xml:space="preserve">   CN</v>
      </c>
      <c r="B582" t="str">
        <f>T("   Chine")</f>
        <v xml:space="preserve">   Chine</v>
      </c>
      <c r="C582">
        <v>102366500</v>
      </c>
      <c r="D582">
        <v>2017330</v>
      </c>
    </row>
    <row r="583" spans="1:4" x14ac:dyDescent="0.25">
      <c r="A583" t="str">
        <f>T("   IN")</f>
        <v xml:space="preserve">   IN</v>
      </c>
      <c r="B583" t="str">
        <f>T("   Inde")</f>
        <v xml:space="preserve">   Inde</v>
      </c>
      <c r="C583">
        <v>41125000</v>
      </c>
      <c r="D583">
        <v>950400</v>
      </c>
    </row>
    <row r="584" spans="1:4" x14ac:dyDescent="0.25">
      <c r="A584" t="str">
        <f>T("440690")</f>
        <v>440690</v>
      </c>
      <c r="B584" t="str">
        <f>T("Traverses en bois, pour voies ferrées ou simil., imprégnées")</f>
        <v>Traverses en bois, pour voies ferrées ou simil., imprégnées</v>
      </c>
    </row>
    <row r="585" spans="1:4" x14ac:dyDescent="0.25">
      <c r="A585" t="str">
        <f>T("   ZZZ_Monde")</f>
        <v xml:space="preserve">   ZZZ_Monde</v>
      </c>
      <c r="B585" t="str">
        <f>T("   ZZZ_Monde")</f>
        <v xml:space="preserve">   ZZZ_Monde</v>
      </c>
      <c r="C585">
        <v>951380000</v>
      </c>
      <c r="D585">
        <v>14879990</v>
      </c>
    </row>
    <row r="586" spans="1:4" x14ac:dyDescent="0.25">
      <c r="A586" t="str">
        <f>T("   CN")</f>
        <v xml:space="preserve">   CN</v>
      </c>
      <c r="B586" t="str">
        <f>T("   Chine")</f>
        <v xml:space="preserve">   Chine</v>
      </c>
      <c r="C586">
        <v>491900000</v>
      </c>
      <c r="D586">
        <v>9922090</v>
      </c>
    </row>
    <row r="587" spans="1:4" x14ac:dyDescent="0.25">
      <c r="A587" t="str">
        <f>T("   ID")</f>
        <v xml:space="preserve">   ID</v>
      </c>
      <c r="B587" t="str">
        <f>T("   Indonésie")</f>
        <v xml:space="preserve">   Indonésie</v>
      </c>
      <c r="C587">
        <v>3000000</v>
      </c>
      <c r="D587">
        <v>100000</v>
      </c>
    </row>
    <row r="588" spans="1:4" x14ac:dyDescent="0.25">
      <c r="A588" t="str">
        <f>T("   IN")</f>
        <v xml:space="preserve">   IN</v>
      </c>
      <c r="B588" t="str">
        <f>T("   Inde")</f>
        <v xml:space="preserve">   Inde</v>
      </c>
      <c r="C588">
        <v>453980000</v>
      </c>
      <c r="D588">
        <v>4817900</v>
      </c>
    </row>
    <row r="589" spans="1:4" x14ac:dyDescent="0.25">
      <c r="A589" t="str">
        <f>T("   KR")</f>
        <v xml:space="preserve">   KR</v>
      </c>
      <c r="B589" t="str">
        <f>T("   Corée, République de")</f>
        <v xml:space="preserve">   Corée, République de</v>
      </c>
      <c r="C589">
        <v>1000000</v>
      </c>
      <c r="D589">
        <v>20000</v>
      </c>
    </row>
    <row r="590" spans="1:4" x14ac:dyDescent="0.25">
      <c r="A590" t="str">
        <f>T("   LY")</f>
        <v xml:space="preserve">   LY</v>
      </c>
      <c r="B590" t="str">
        <f>T("   Libyenne, Jamahiriya Arabe")</f>
        <v xml:space="preserve">   Libyenne, Jamahiriya Arabe</v>
      </c>
      <c r="C590">
        <v>1000000</v>
      </c>
      <c r="D590">
        <v>10000</v>
      </c>
    </row>
    <row r="591" spans="1:4" x14ac:dyDescent="0.25">
      <c r="A591" t="str">
        <f>T("   VN")</f>
        <v xml:space="preserve">   VN</v>
      </c>
      <c r="B591" t="str">
        <f>T("   Vietnam")</f>
        <v xml:space="preserve">   Vietnam</v>
      </c>
      <c r="C591">
        <v>500000</v>
      </c>
      <c r="D591">
        <v>10000</v>
      </c>
    </row>
    <row r="592" spans="1:4" x14ac:dyDescent="0.25">
      <c r="A592" t="str">
        <f>T("440729")</f>
        <v>440729</v>
      </c>
      <c r="B592"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93" spans="1:4" x14ac:dyDescent="0.25">
      <c r="A593" t="str">
        <f>T("   ZZZ_Monde")</f>
        <v xml:space="preserve">   ZZZ_Monde</v>
      </c>
      <c r="B593" t="str">
        <f>T("   ZZZ_Monde")</f>
        <v xml:space="preserve">   ZZZ_Monde</v>
      </c>
      <c r="C593">
        <v>2089857243</v>
      </c>
      <c r="D593">
        <v>23821971</v>
      </c>
    </row>
    <row r="594" spans="1:4" x14ac:dyDescent="0.25">
      <c r="A594" t="str">
        <f>T("   AE")</f>
        <v xml:space="preserve">   AE</v>
      </c>
      <c r="B594" t="str">
        <f>T("   Emirats Arabes Unis")</f>
        <v xml:space="preserve">   Emirats Arabes Unis</v>
      </c>
      <c r="C594">
        <v>14153311</v>
      </c>
      <c r="D594">
        <v>45000</v>
      </c>
    </row>
    <row r="595" spans="1:4" x14ac:dyDescent="0.25">
      <c r="A595" t="str">
        <f>T("   CI")</f>
        <v xml:space="preserve">   CI</v>
      </c>
      <c r="B595" t="str">
        <f>T("   Côte d'Ivoire")</f>
        <v xml:space="preserve">   Côte d'Ivoire</v>
      </c>
      <c r="C595">
        <v>89926466</v>
      </c>
      <c r="D595">
        <v>140000</v>
      </c>
    </row>
    <row r="596" spans="1:4" x14ac:dyDescent="0.25">
      <c r="A596" t="str">
        <f>T("   CN")</f>
        <v xml:space="preserve">   CN</v>
      </c>
      <c r="B596" t="str">
        <f>T("   Chine")</f>
        <v xml:space="preserve">   Chine</v>
      </c>
      <c r="C596">
        <v>955669735</v>
      </c>
      <c r="D596">
        <v>18616000</v>
      </c>
    </row>
    <row r="597" spans="1:4" x14ac:dyDescent="0.25">
      <c r="A597" t="str">
        <f>T("   DE")</f>
        <v xml:space="preserve">   DE</v>
      </c>
      <c r="B597" t="str">
        <f>T("   Allemagne")</f>
        <v xml:space="preserve">   Allemagne</v>
      </c>
      <c r="C597">
        <v>15993395</v>
      </c>
      <c r="D597">
        <v>45000</v>
      </c>
    </row>
    <row r="598" spans="1:4" x14ac:dyDescent="0.25">
      <c r="A598" t="str">
        <f>T("   ES")</f>
        <v xml:space="preserve">   ES</v>
      </c>
      <c r="B598" t="str">
        <f>T("   Espagne")</f>
        <v xml:space="preserve">   Espagne</v>
      </c>
      <c r="C598">
        <v>12700004</v>
      </c>
      <c r="D598">
        <v>10000</v>
      </c>
    </row>
    <row r="599" spans="1:4" x14ac:dyDescent="0.25">
      <c r="A599" t="str">
        <f>T("   FR")</f>
        <v xml:space="preserve">   FR</v>
      </c>
      <c r="B599" t="str">
        <f>T("   France")</f>
        <v xml:space="preserve">   France</v>
      </c>
      <c r="C599">
        <v>11308056</v>
      </c>
      <c r="D599">
        <v>10000</v>
      </c>
    </row>
    <row r="600" spans="1:4" x14ac:dyDescent="0.25">
      <c r="A600" t="str">
        <f>T("   IN")</f>
        <v xml:space="preserve">   IN</v>
      </c>
      <c r="B600" t="str">
        <f>T("   Inde")</f>
        <v xml:space="preserve">   Inde</v>
      </c>
      <c r="C600">
        <v>845394553</v>
      </c>
      <c r="D600">
        <v>3419265</v>
      </c>
    </row>
    <row r="601" spans="1:4" x14ac:dyDescent="0.25">
      <c r="A601" t="str">
        <f>T("   IT")</f>
        <v xml:space="preserve">   IT</v>
      </c>
      <c r="B601" t="str">
        <f>T("   Italie")</f>
        <v xml:space="preserve">   Italie</v>
      </c>
      <c r="C601">
        <v>24068773</v>
      </c>
      <c r="D601">
        <v>40000</v>
      </c>
    </row>
    <row r="602" spans="1:4" x14ac:dyDescent="0.25">
      <c r="A602" t="str">
        <f>T("   KR")</f>
        <v xml:space="preserve">   KR</v>
      </c>
      <c r="B602" t="str">
        <f>T("   Corée, République de")</f>
        <v xml:space="preserve">   Corée, République de</v>
      </c>
      <c r="C602">
        <v>1000000</v>
      </c>
      <c r="D602">
        <v>20000</v>
      </c>
    </row>
    <row r="603" spans="1:4" x14ac:dyDescent="0.25">
      <c r="A603" t="str">
        <f>T("   LB")</f>
        <v xml:space="preserve">   LB</v>
      </c>
      <c r="B603" t="str">
        <f>T("   Liban")</f>
        <v xml:space="preserve">   Liban</v>
      </c>
      <c r="C603">
        <v>4340000</v>
      </c>
      <c r="D603">
        <v>22000</v>
      </c>
    </row>
    <row r="604" spans="1:4" x14ac:dyDescent="0.25">
      <c r="A604" t="str">
        <f>T("   MA")</f>
        <v xml:space="preserve">   MA</v>
      </c>
      <c r="B604" t="str">
        <f>T("   Maroc")</f>
        <v xml:space="preserve">   Maroc</v>
      </c>
      <c r="C604">
        <v>500000</v>
      </c>
      <c r="D604">
        <v>10000</v>
      </c>
    </row>
    <row r="605" spans="1:4" x14ac:dyDescent="0.25">
      <c r="A605" t="str">
        <f>T("   SG")</f>
        <v xml:space="preserve">   SG</v>
      </c>
      <c r="B605" t="str">
        <f>T("   Singapour")</f>
        <v xml:space="preserve">   Singapour</v>
      </c>
      <c r="C605">
        <v>114802950</v>
      </c>
      <c r="D605">
        <v>1444706</v>
      </c>
    </row>
    <row r="606" spans="1:4" x14ac:dyDescent="0.25">
      <c r="A606" t="str">
        <f>T("440799")</f>
        <v>440799</v>
      </c>
      <c r="B606"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607" spans="1:4" x14ac:dyDescent="0.25">
      <c r="A607" t="str">
        <f>T("   ZZZ_Monde")</f>
        <v xml:space="preserve">   ZZZ_Monde</v>
      </c>
      <c r="B607" t="str">
        <f>T("   ZZZ_Monde")</f>
        <v xml:space="preserve">   ZZZ_Monde</v>
      </c>
      <c r="C607">
        <v>846875966</v>
      </c>
      <c r="D607">
        <v>29832400</v>
      </c>
    </row>
    <row r="608" spans="1:4" x14ac:dyDescent="0.25">
      <c r="A608" t="str">
        <f>T("   AO")</f>
        <v xml:space="preserve">   AO</v>
      </c>
      <c r="B608" t="str">
        <f>T("   Angola")</f>
        <v xml:space="preserve">   Angola</v>
      </c>
      <c r="C608">
        <v>500000</v>
      </c>
      <c r="D608">
        <v>15000</v>
      </c>
    </row>
    <row r="609" spans="1:4" x14ac:dyDescent="0.25">
      <c r="A609" t="str">
        <f>T("   CI")</f>
        <v xml:space="preserve">   CI</v>
      </c>
      <c r="B609" t="str">
        <f>T("   Côte d'Ivoire")</f>
        <v xml:space="preserve">   Côte d'Ivoire</v>
      </c>
      <c r="C609">
        <v>15013635</v>
      </c>
      <c r="D609">
        <v>65000</v>
      </c>
    </row>
    <row r="610" spans="1:4" x14ac:dyDescent="0.25">
      <c r="A610" t="str">
        <f>T("   CN")</f>
        <v xml:space="preserve">   CN</v>
      </c>
      <c r="B610" t="str">
        <f>T("   Chine")</f>
        <v xml:space="preserve">   Chine</v>
      </c>
      <c r="C610">
        <v>583213000</v>
      </c>
      <c r="D610">
        <v>24367360</v>
      </c>
    </row>
    <row r="611" spans="1:4" x14ac:dyDescent="0.25">
      <c r="A611" t="str">
        <f>T("   DK")</f>
        <v xml:space="preserve">   DK</v>
      </c>
      <c r="B611" t="str">
        <f>T("   Danemark")</f>
        <v xml:space="preserve">   Danemark</v>
      </c>
      <c r="C611">
        <v>500000</v>
      </c>
      <c r="D611">
        <v>21800</v>
      </c>
    </row>
    <row r="612" spans="1:4" x14ac:dyDescent="0.25">
      <c r="A612" t="str">
        <f>T("   ES")</f>
        <v xml:space="preserve">   ES</v>
      </c>
      <c r="B612" t="str">
        <f>T("   Espagne")</f>
        <v xml:space="preserve">   Espagne</v>
      </c>
      <c r="C612">
        <v>750000</v>
      </c>
      <c r="D612">
        <v>15000</v>
      </c>
    </row>
    <row r="613" spans="1:4" x14ac:dyDescent="0.25">
      <c r="A613" t="str">
        <f>T("   IN")</f>
        <v xml:space="preserve">   IN</v>
      </c>
      <c r="B613" t="str">
        <f>T("   Inde")</f>
        <v xml:space="preserve">   Inde</v>
      </c>
      <c r="C613">
        <v>242899331</v>
      </c>
      <c r="D613">
        <v>5132240</v>
      </c>
    </row>
    <row r="614" spans="1:4" x14ac:dyDescent="0.25">
      <c r="A614" t="str">
        <f>T("   TR")</f>
        <v xml:space="preserve">   TR</v>
      </c>
      <c r="B614" t="str">
        <f>T("   Turquie")</f>
        <v xml:space="preserve">   Turquie</v>
      </c>
      <c r="C614">
        <v>1000000</v>
      </c>
      <c r="D614">
        <v>20000</v>
      </c>
    </row>
    <row r="615" spans="1:4" x14ac:dyDescent="0.25">
      <c r="A615" t="str">
        <f>T("   VN")</f>
        <v xml:space="preserve">   VN</v>
      </c>
      <c r="B615" t="str">
        <f>T("   Vietnam")</f>
        <v xml:space="preserve">   Vietnam</v>
      </c>
      <c r="C615">
        <v>3000000</v>
      </c>
      <c r="D615">
        <v>196000</v>
      </c>
    </row>
    <row r="616" spans="1:4" x14ac:dyDescent="0.25">
      <c r="A616" t="str">
        <f>T("440910")</f>
        <v>440910</v>
      </c>
      <c r="B616" t="s">
        <v>14</v>
      </c>
    </row>
    <row r="617" spans="1:4" x14ac:dyDescent="0.25">
      <c r="A617" t="str">
        <f>T("   ZZZ_Monde")</f>
        <v xml:space="preserve">   ZZZ_Monde</v>
      </c>
      <c r="B617" t="str">
        <f>T("   ZZZ_Monde")</f>
        <v xml:space="preserve">   ZZZ_Monde</v>
      </c>
      <c r="C617">
        <v>500000</v>
      </c>
      <c r="D617">
        <v>10000</v>
      </c>
    </row>
    <row r="618" spans="1:4" x14ac:dyDescent="0.25">
      <c r="A618" t="str">
        <f>T("   CN")</f>
        <v xml:space="preserve">   CN</v>
      </c>
      <c r="B618" t="str">
        <f>T("   Chine")</f>
        <v xml:space="preserve">   Chine</v>
      </c>
      <c r="C618">
        <v>500000</v>
      </c>
      <c r="D618">
        <v>10000</v>
      </c>
    </row>
    <row r="619" spans="1:4" x14ac:dyDescent="0.25">
      <c r="A619" t="str">
        <f>T("441299")</f>
        <v>441299</v>
      </c>
      <c r="B619" t="str">
        <f>T("BOIS PLAQUÉS ET BOIS STRATIFIÉS SIMIL., SANS ÂME PANNEAUTÉE, LATTÉE OU LAMELLÉE (À L'EXCL. DE BAMBOO, DES BOIS CONTRE-PLAQUÉS CONSTITUÉS EXCLUSIVEMENT DE FEUILLES DE BOIS DONT CHACUNE A UNE ÉPAISSEUR &lt;= 6 MM, DES PANNEAUX EN BOIS DITS 'DENSIFIÉS', DES PAN")</f>
        <v>BOIS PLAQUÉS ET BOIS STRATIFIÉS SIMIL., SANS ÂME PANNEAUTÉE, LATTÉE OU LAMELLÉE (À L'EXCL. DE BAMBOO, DES BOIS CONTRE-PLAQUÉS CONSTITUÉS EXCLUSIVEMENT DE FEUILLES DE BOIS DONT CHACUNE A UNE ÉPAISSEUR &lt;= 6 MM, DES PANNEAUX EN BOIS DITS 'DENSIFIÉS', DES PAN</v>
      </c>
    </row>
    <row r="620" spans="1:4" x14ac:dyDescent="0.25">
      <c r="A620" t="str">
        <f>T("   ZZZ_Monde")</f>
        <v xml:space="preserve">   ZZZ_Monde</v>
      </c>
      <c r="B620" t="str">
        <f>T("   ZZZ_Monde")</f>
        <v xml:space="preserve">   ZZZ_Monde</v>
      </c>
      <c r="C620">
        <v>12720000</v>
      </c>
      <c r="D620">
        <v>254400</v>
      </c>
    </row>
    <row r="621" spans="1:4" x14ac:dyDescent="0.25">
      <c r="A621" t="str">
        <f>T("   CN")</f>
        <v xml:space="preserve">   CN</v>
      </c>
      <c r="B621" t="str">
        <f>T("   Chine")</f>
        <v xml:space="preserve">   Chine</v>
      </c>
      <c r="C621">
        <v>8720000</v>
      </c>
      <c r="D621">
        <v>174400</v>
      </c>
    </row>
    <row r="622" spans="1:4" x14ac:dyDescent="0.25">
      <c r="A622" t="str">
        <f>T("   IN")</f>
        <v xml:space="preserve">   IN</v>
      </c>
      <c r="B622" t="str">
        <f>T("   Inde")</f>
        <v xml:space="preserve">   Inde</v>
      </c>
      <c r="C622">
        <v>4000000</v>
      </c>
      <c r="D622">
        <v>80000</v>
      </c>
    </row>
    <row r="623" spans="1:4" x14ac:dyDescent="0.25">
      <c r="A623" t="str">
        <f>T("441300")</f>
        <v>441300</v>
      </c>
      <c r="B623" t="str">
        <f>T("Bois dits 'densifiés', en blocs, planches, lames ou profilés")</f>
        <v>Bois dits 'densifiés', en blocs, planches, lames ou profilés</v>
      </c>
    </row>
    <row r="624" spans="1:4" x14ac:dyDescent="0.25">
      <c r="A624" t="str">
        <f>T("   ZZZ_Monde")</f>
        <v xml:space="preserve">   ZZZ_Monde</v>
      </c>
      <c r="B624" t="str">
        <f>T("   ZZZ_Monde")</f>
        <v xml:space="preserve">   ZZZ_Monde</v>
      </c>
      <c r="C624">
        <v>1596757</v>
      </c>
      <c r="D624">
        <v>5768</v>
      </c>
    </row>
    <row r="625" spans="1:4" x14ac:dyDescent="0.25">
      <c r="A625" t="str">
        <f>T("   CI")</f>
        <v xml:space="preserve">   CI</v>
      </c>
      <c r="B625" t="str">
        <f>T("   Côte d'Ivoire")</f>
        <v xml:space="preserve">   Côte d'Ivoire</v>
      </c>
      <c r="C625">
        <v>1596757</v>
      </c>
      <c r="D625">
        <v>5768</v>
      </c>
    </row>
    <row r="626" spans="1:4" x14ac:dyDescent="0.25">
      <c r="A626" t="str">
        <f>T("442010")</f>
        <v>442010</v>
      </c>
      <c r="B626" t="str">
        <f>T("Statuettes et autres objets d'ornement, en bois (autres que marquetés ou incrustés)")</f>
        <v>Statuettes et autres objets d'ornement, en bois (autres que marquetés ou incrustés)</v>
      </c>
    </row>
    <row r="627" spans="1:4" x14ac:dyDescent="0.25">
      <c r="A627" t="str">
        <f>T("   ZZZ_Monde")</f>
        <v xml:space="preserve">   ZZZ_Monde</v>
      </c>
      <c r="B627" t="str">
        <f>T("   ZZZ_Monde")</f>
        <v xml:space="preserve">   ZZZ_Monde</v>
      </c>
      <c r="C627">
        <v>350000</v>
      </c>
      <c r="D627">
        <v>782</v>
      </c>
    </row>
    <row r="628" spans="1:4" x14ac:dyDescent="0.25">
      <c r="A628" t="str">
        <f>T("   FR")</f>
        <v xml:space="preserve">   FR</v>
      </c>
      <c r="B628" t="str">
        <f>T("   France")</f>
        <v xml:space="preserve">   France</v>
      </c>
      <c r="C628">
        <v>150000</v>
      </c>
      <c r="D628">
        <v>92</v>
      </c>
    </row>
    <row r="629" spans="1:4" x14ac:dyDescent="0.25">
      <c r="A629" t="str">
        <f>T("   GB")</f>
        <v xml:space="preserve">   GB</v>
      </c>
      <c r="B629" t="str">
        <f>T("   Royaume-Uni")</f>
        <v xml:space="preserve">   Royaume-Uni</v>
      </c>
      <c r="C629">
        <v>200000</v>
      </c>
      <c r="D629">
        <v>690</v>
      </c>
    </row>
    <row r="630" spans="1:4" x14ac:dyDescent="0.25">
      <c r="A630" t="str">
        <f>T("442190")</f>
        <v>442190</v>
      </c>
      <c r="B630" t="str">
        <f>T("Ouvrages, en bois, n.d.a.")</f>
        <v>Ouvrages, en bois, n.d.a.</v>
      </c>
    </row>
    <row r="631" spans="1:4" x14ac:dyDescent="0.25">
      <c r="A631" t="str">
        <f>T("   ZZZ_Monde")</f>
        <v xml:space="preserve">   ZZZ_Monde</v>
      </c>
      <c r="B631" t="str">
        <f>T("   ZZZ_Monde")</f>
        <v xml:space="preserve">   ZZZ_Monde</v>
      </c>
      <c r="C631">
        <v>439247521</v>
      </c>
      <c r="D631">
        <v>2715958</v>
      </c>
    </row>
    <row r="632" spans="1:4" x14ac:dyDescent="0.25">
      <c r="A632" t="str">
        <f>T("   GB")</f>
        <v xml:space="preserve">   GB</v>
      </c>
      <c r="B632" t="str">
        <f>T("   Royaume-Uni")</f>
        <v xml:space="preserve">   Royaume-Uni</v>
      </c>
      <c r="C632">
        <v>824341</v>
      </c>
      <c r="D632">
        <v>158</v>
      </c>
    </row>
    <row r="633" spans="1:4" x14ac:dyDescent="0.25">
      <c r="A633" t="str">
        <f>T("   IN")</f>
        <v xml:space="preserve">   IN</v>
      </c>
      <c r="B633" t="str">
        <f>T("   Inde")</f>
        <v xml:space="preserve">   Inde</v>
      </c>
      <c r="C633">
        <v>438048180</v>
      </c>
      <c r="D633">
        <v>2715000</v>
      </c>
    </row>
    <row r="634" spans="1:4" x14ac:dyDescent="0.25">
      <c r="A634" t="str">
        <f>T("   TG")</f>
        <v xml:space="preserve">   TG</v>
      </c>
      <c r="B634" t="str">
        <f>T("   Togo")</f>
        <v xml:space="preserve">   Togo</v>
      </c>
      <c r="C634">
        <v>375000</v>
      </c>
      <c r="D634">
        <v>800</v>
      </c>
    </row>
    <row r="635" spans="1:4" x14ac:dyDescent="0.25">
      <c r="A635" t="str">
        <f>T("460210")</f>
        <v>460210</v>
      </c>
      <c r="B635" t="str">
        <f>T("Ouvrages de vannerie obtenus directement en forme à partir de matières à tresser végétales ou confectionnés à l'aide des matières à tresser végétales du n° 4601; ouvrages en luffa (sauf revêtements muraux du n° 4814, ficelles, cordes et cordages, chaussur")</f>
        <v>Ouvrages de vannerie obtenus directement en forme à partir de matières à tresser végétales ou confectionnés à l'aide des matières à tresser végétales du n° 4601; ouvrages en luffa (sauf revêtements muraux du n° 4814, ficelles, cordes et cordages, chaussur</v>
      </c>
    </row>
    <row r="636" spans="1:4" x14ac:dyDescent="0.25">
      <c r="A636" t="str">
        <f>T("   ZZZ_Monde")</f>
        <v xml:space="preserve">   ZZZ_Monde</v>
      </c>
      <c r="B636" t="str">
        <f>T("   ZZZ_Monde")</f>
        <v xml:space="preserve">   ZZZ_Monde</v>
      </c>
      <c r="C636">
        <v>363400000</v>
      </c>
      <c r="D636">
        <v>1374500</v>
      </c>
    </row>
    <row r="637" spans="1:4" x14ac:dyDescent="0.25">
      <c r="A637" t="str">
        <f>T("   CH")</f>
        <v xml:space="preserve">   CH</v>
      </c>
      <c r="B637" t="str">
        <f>T("   Suisse")</f>
        <v xml:space="preserve">   Suisse</v>
      </c>
      <c r="C637">
        <v>85900000</v>
      </c>
      <c r="D637">
        <v>354500</v>
      </c>
    </row>
    <row r="638" spans="1:4" x14ac:dyDescent="0.25">
      <c r="A638" t="str">
        <f>T("   CN")</f>
        <v xml:space="preserve">   CN</v>
      </c>
      <c r="B638" t="str">
        <f>T("   Chine")</f>
        <v xml:space="preserve">   Chine</v>
      </c>
      <c r="C638">
        <v>69000000</v>
      </c>
      <c r="D638">
        <v>270000</v>
      </c>
    </row>
    <row r="639" spans="1:4" x14ac:dyDescent="0.25">
      <c r="A639" t="str">
        <f>T("   DE")</f>
        <v xml:space="preserve">   DE</v>
      </c>
      <c r="B639" t="str">
        <f>T("   Allemagne")</f>
        <v xml:space="preserve">   Allemagne</v>
      </c>
      <c r="C639">
        <v>500000</v>
      </c>
      <c r="D639">
        <v>10000</v>
      </c>
    </row>
    <row r="640" spans="1:4" x14ac:dyDescent="0.25">
      <c r="A640" t="str">
        <f>T("   IN")</f>
        <v xml:space="preserve">   IN</v>
      </c>
      <c r="B640" t="str">
        <f>T("   Inde")</f>
        <v xml:space="preserve">   Inde</v>
      </c>
      <c r="C640">
        <v>208000000</v>
      </c>
      <c r="D640">
        <v>740000</v>
      </c>
    </row>
    <row r="641" spans="1:4" x14ac:dyDescent="0.25">
      <c r="A641" t="str">
        <f>T("481910")</f>
        <v>481910</v>
      </c>
      <c r="B641" t="str">
        <f>T("Boîtes et caisses en papier ou en carton ondulé")</f>
        <v>Boîtes et caisses en papier ou en carton ondulé</v>
      </c>
    </row>
    <row r="642" spans="1:4" x14ac:dyDescent="0.25">
      <c r="A642" t="str">
        <f>T("   ZZZ_Monde")</f>
        <v xml:space="preserve">   ZZZ_Monde</v>
      </c>
      <c r="B642" t="str">
        <f>T("   ZZZ_Monde")</f>
        <v xml:space="preserve">   ZZZ_Monde</v>
      </c>
      <c r="C642">
        <v>7770854</v>
      </c>
      <c r="D642">
        <v>14280</v>
      </c>
    </row>
    <row r="643" spans="1:4" x14ac:dyDescent="0.25">
      <c r="A643" t="str">
        <f>T("   BF")</f>
        <v xml:space="preserve">   BF</v>
      </c>
      <c r="B643" t="str">
        <f>T("   Burkina Faso")</f>
        <v xml:space="preserve">   Burkina Faso</v>
      </c>
      <c r="C643">
        <v>3515199</v>
      </c>
      <c r="D643">
        <v>4488</v>
      </c>
    </row>
    <row r="644" spans="1:4" x14ac:dyDescent="0.25">
      <c r="A644" t="str">
        <f>T("   ML")</f>
        <v xml:space="preserve">   ML</v>
      </c>
      <c r="B644" t="str">
        <f>T("   Mali")</f>
        <v xml:space="preserve">   Mali</v>
      </c>
      <c r="C644">
        <v>1369100</v>
      </c>
      <c r="D644">
        <v>2160</v>
      </c>
    </row>
    <row r="645" spans="1:4" x14ac:dyDescent="0.25">
      <c r="A645" t="str">
        <f>T("   NE")</f>
        <v xml:space="preserve">   NE</v>
      </c>
      <c r="B645" t="str">
        <f>T("   Niger")</f>
        <v xml:space="preserve">   Niger</v>
      </c>
      <c r="C645">
        <v>1034541</v>
      </c>
      <c r="D645">
        <v>2033</v>
      </c>
    </row>
    <row r="646" spans="1:4" x14ac:dyDescent="0.25">
      <c r="A646" t="str">
        <f>T("   SN")</f>
        <v xml:space="preserve">   SN</v>
      </c>
      <c r="B646" t="str">
        <f>T("   Sénégal")</f>
        <v xml:space="preserve">   Sénégal</v>
      </c>
      <c r="C646">
        <v>1852014</v>
      </c>
      <c r="D646">
        <v>5599</v>
      </c>
    </row>
    <row r="647" spans="1:4" x14ac:dyDescent="0.25">
      <c r="A647" t="str">
        <f>T("481920")</f>
        <v>481920</v>
      </c>
      <c r="B647" t="str">
        <f>T("Boîtes et cartonnages, pliants, en papier ou en carton non ondulé")</f>
        <v>Boîtes et cartonnages, pliants, en papier ou en carton non ondulé</v>
      </c>
    </row>
    <row r="648" spans="1:4" x14ac:dyDescent="0.25">
      <c r="A648" t="str">
        <f>T("   ZZZ_Monde")</f>
        <v xml:space="preserve">   ZZZ_Monde</v>
      </c>
      <c r="B648" t="str">
        <f>T("   ZZZ_Monde")</f>
        <v xml:space="preserve">   ZZZ_Monde</v>
      </c>
      <c r="C648">
        <v>6695713</v>
      </c>
      <c r="D648">
        <v>24252</v>
      </c>
    </row>
    <row r="649" spans="1:4" x14ac:dyDescent="0.25">
      <c r="A649" t="str">
        <f>T("   BF")</f>
        <v xml:space="preserve">   BF</v>
      </c>
      <c r="B649" t="str">
        <f>T("   Burkina Faso")</f>
        <v xml:space="preserve">   Burkina Faso</v>
      </c>
      <c r="C649">
        <v>121405</v>
      </c>
      <c r="D649">
        <v>150</v>
      </c>
    </row>
    <row r="650" spans="1:4" x14ac:dyDescent="0.25">
      <c r="A650" t="str">
        <f>T("   GH")</f>
        <v xml:space="preserve">   GH</v>
      </c>
      <c r="B650" t="str">
        <f>T("   Ghana")</f>
        <v xml:space="preserve">   Ghana</v>
      </c>
      <c r="C650">
        <v>6194400</v>
      </c>
      <c r="D650">
        <v>23632</v>
      </c>
    </row>
    <row r="651" spans="1:4" x14ac:dyDescent="0.25">
      <c r="A651" t="str">
        <f>T("   ML")</f>
        <v xml:space="preserve">   ML</v>
      </c>
      <c r="B651" t="str">
        <f>T("   Mali")</f>
        <v xml:space="preserve">   Mali</v>
      </c>
      <c r="C651">
        <v>313837</v>
      </c>
      <c r="D651">
        <v>388</v>
      </c>
    </row>
    <row r="652" spans="1:4" x14ac:dyDescent="0.25">
      <c r="A652" t="str">
        <f>T("   NE")</f>
        <v xml:space="preserve">   NE</v>
      </c>
      <c r="B652" t="str">
        <f>T("   Niger")</f>
        <v xml:space="preserve">   Niger</v>
      </c>
      <c r="C652">
        <v>66071</v>
      </c>
      <c r="D652">
        <v>82</v>
      </c>
    </row>
    <row r="653" spans="1:4" x14ac:dyDescent="0.25">
      <c r="A653" t="str">
        <f>T("481940")</f>
        <v>481940</v>
      </c>
      <c r="B653"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654" spans="1:4" x14ac:dyDescent="0.25">
      <c r="A654" t="str">
        <f>T("   ZZZ_Monde")</f>
        <v xml:space="preserve">   ZZZ_Monde</v>
      </c>
      <c r="B654" t="str">
        <f>T("   ZZZ_Monde")</f>
        <v xml:space="preserve">   ZZZ_Monde</v>
      </c>
      <c r="C654">
        <v>3712734</v>
      </c>
      <c r="D654">
        <v>105</v>
      </c>
    </row>
    <row r="655" spans="1:4" x14ac:dyDescent="0.25">
      <c r="A655" t="str">
        <f>T("   FR")</f>
        <v xml:space="preserve">   FR</v>
      </c>
      <c r="B655" t="str">
        <f>T("   France")</f>
        <v xml:space="preserve">   France</v>
      </c>
      <c r="C655">
        <v>3712734</v>
      </c>
      <c r="D655">
        <v>105</v>
      </c>
    </row>
    <row r="656" spans="1:4" x14ac:dyDescent="0.25">
      <c r="A656" t="str">
        <f>T("481960")</f>
        <v>481960</v>
      </c>
      <c r="B656" t="str">
        <f>T("Cartonnages de bureau, de magasin ou simil., rigides (à l'excl. des emballages)")</f>
        <v>Cartonnages de bureau, de magasin ou simil., rigides (à l'excl. des emballages)</v>
      </c>
    </row>
    <row r="657" spans="1:4" x14ac:dyDescent="0.25">
      <c r="A657" t="str">
        <f>T("   ZZZ_Monde")</f>
        <v xml:space="preserve">   ZZZ_Monde</v>
      </c>
      <c r="B657" t="str">
        <f>T("   ZZZ_Monde")</f>
        <v xml:space="preserve">   ZZZ_Monde</v>
      </c>
      <c r="C657">
        <v>146870386</v>
      </c>
      <c r="D657">
        <v>397130</v>
      </c>
    </row>
    <row r="658" spans="1:4" x14ac:dyDescent="0.25">
      <c r="A658" t="str">
        <f>T("   AO")</f>
        <v xml:space="preserve">   AO</v>
      </c>
      <c r="B658" t="str">
        <f>T("   Angola")</f>
        <v xml:space="preserve">   Angola</v>
      </c>
      <c r="C658">
        <v>584965</v>
      </c>
      <c r="D658">
        <v>1625</v>
      </c>
    </row>
    <row r="659" spans="1:4" x14ac:dyDescent="0.25">
      <c r="A659" t="str">
        <f>T("   BF")</f>
        <v xml:space="preserve">   BF</v>
      </c>
      <c r="B659" t="str">
        <f>T("   Burkina Faso")</f>
        <v xml:space="preserve">   Burkina Faso</v>
      </c>
      <c r="C659">
        <v>3224568</v>
      </c>
      <c r="D659">
        <v>3812</v>
      </c>
    </row>
    <row r="660" spans="1:4" x14ac:dyDescent="0.25">
      <c r="A660" t="str">
        <f>T("   NE")</f>
        <v xml:space="preserve">   NE</v>
      </c>
      <c r="B660" t="str">
        <f>T("   Niger")</f>
        <v xml:space="preserve">   Niger</v>
      </c>
      <c r="C660">
        <v>39392887</v>
      </c>
      <c r="D660">
        <v>74747</v>
      </c>
    </row>
    <row r="661" spans="1:4" x14ac:dyDescent="0.25">
      <c r="A661" t="str">
        <f>T("   NG")</f>
        <v xml:space="preserve">   NG</v>
      </c>
      <c r="B661" t="str">
        <f>T("   Nigéria")</f>
        <v xml:space="preserve">   Nigéria</v>
      </c>
      <c r="C661">
        <v>75647437</v>
      </c>
      <c r="D661">
        <v>282843</v>
      </c>
    </row>
    <row r="662" spans="1:4" x14ac:dyDescent="0.25">
      <c r="A662" t="str">
        <f>T("   TG")</f>
        <v xml:space="preserve">   TG</v>
      </c>
      <c r="B662" t="str">
        <f>T("   Togo")</f>
        <v xml:space="preserve">   Togo</v>
      </c>
      <c r="C662">
        <v>28020529</v>
      </c>
      <c r="D662">
        <v>34103</v>
      </c>
    </row>
    <row r="663" spans="1:4" x14ac:dyDescent="0.25">
      <c r="A663" t="str">
        <f>T("482020")</f>
        <v>482020</v>
      </c>
      <c r="B663" t="str">
        <f>T("Cahiers pour l'écriture, en papier ou carton")</f>
        <v>Cahiers pour l'écriture, en papier ou carton</v>
      </c>
    </row>
    <row r="664" spans="1:4" x14ac:dyDescent="0.25">
      <c r="A664" t="str">
        <f>T("   ZZZ_Monde")</f>
        <v xml:space="preserve">   ZZZ_Monde</v>
      </c>
      <c r="B664" t="str">
        <f>T("   ZZZ_Monde")</f>
        <v xml:space="preserve">   ZZZ_Monde</v>
      </c>
      <c r="C664">
        <v>3520000</v>
      </c>
      <c r="D664">
        <v>10200</v>
      </c>
    </row>
    <row r="665" spans="1:4" x14ac:dyDescent="0.25">
      <c r="A665" t="str">
        <f>T("   NE")</f>
        <v xml:space="preserve">   NE</v>
      </c>
      <c r="B665" t="str">
        <f>T("   Niger")</f>
        <v xml:space="preserve">   Niger</v>
      </c>
      <c r="C665">
        <v>3520000</v>
      </c>
      <c r="D665">
        <v>10200</v>
      </c>
    </row>
    <row r="666" spans="1:4" x14ac:dyDescent="0.25">
      <c r="A666" t="str">
        <f>T("482390")</f>
        <v>482390</v>
      </c>
      <c r="B666"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667" spans="1:4" x14ac:dyDescent="0.25">
      <c r="A667" t="str">
        <f>T("   ZZZ_Monde")</f>
        <v xml:space="preserve">   ZZZ_Monde</v>
      </c>
      <c r="B667" t="str">
        <f>T("   ZZZ_Monde")</f>
        <v xml:space="preserve">   ZZZ_Monde</v>
      </c>
      <c r="C667">
        <v>26000000</v>
      </c>
      <c r="D667">
        <v>260000</v>
      </c>
    </row>
    <row r="668" spans="1:4" x14ac:dyDescent="0.25">
      <c r="A668" t="str">
        <f>T("   CN")</f>
        <v xml:space="preserve">   CN</v>
      </c>
      <c r="B668" t="str">
        <f>T("   Chine")</f>
        <v xml:space="preserve">   Chine</v>
      </c>
      <c r="C668">
        <v>26000000</v>
      </c>
      <c r="D668">
        <v>260000</v>
      </c>
    </row>
    <row r="669" spans="1:4" x14ac:dyDescent="0.25">
      <c r="A669" t="str">
        <f>T("490110")</f>
        <v>490110</v>
      </c>
      <c r="B669"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670" spans="1:4" x14ac:dyDescent="0.25">
      <c r="A670" t="str">
        <f>T("   ZZZ_Monde")</f>
        <v xml:space="preserve">   ZZZ_Monde</v>
      </c>
      <c r="B670" t="str">
        <f>T("   ZZZ_Monde")</f>
        <v xml:space="preserve">   ZZZ_Monde</v>
      </c>
      <c r="C670">
        <v>5000000</v>
      </c>
      <c r="D670">
        <v>50000</v>
      </c>
    </row>
    <row r="671" spans="1:4" x14ac:dyDescent="0.25">
      <c r="A671" t="str">
        <f>T("   CN")</f>
        <v xml:space="preserve">   CN</v>
      </c>
      <c r="B671" t="str">
        <f>T("   Chine")</f>
        <v xml:space="preserve">   Chine</v>
      </c>
      <c r="C671">
        <v>5000000</v>
      </c>
      <c r="D671">
        <v>50000</v>
      </c>
    </row>
    <row r="672" spans="1:4" x14ac:dyDescent="0.25">
      <c r="A672" t="str">
        <f>T("490199")</f>
        <v>490199</v>
      </c>
      <c r="B672"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673" spans="1:4" x14ac:dyDescent="0.25">
      <c r="A673" t="str">
        <f>T("   ZZZ_Monde")</f>
        <v xml:space="preserve">   ZZZ_Monde</v>
      </c>
      <c r="B673" t="str">
        <f>T("   ZZZ_Monde")</f>
        <v xml:space="preserve">   ZZZ_Monde</v>
      </c>
      <c r="C673">
        <v>147900000</v>
      </c>
      <c r="D673">
        <v>117784</v>
      </c>
    </row>
    <row r="674" spans="1:4" x14ac:dyDescent="0.25">
      <c r="A674" t="str">
        <f>T("   BE")</f>
        <v xml:space="preserve">   BE</v>
      </c>
      <c r="B674" t="str">
        <f>T("   Belgique")</f>
        <v xml:space="preserve">   Belgique</v>
      </c>
      <c r="C674">
        <v>500000</v>
      </c>
      <c r="D674">
        <v>500</v>
      </c>
    </row>
    <row r="675" spans="1:4" x14ac:dyDescent="0.25">
      <c r="A675" t="str">
        <f>T("   BF")</f>
        <v xml:space="preserve">   BF</v>
      </c>
      <c r="B675" t="str">
        <f>T("   Burkina Faso")</f>
        <v xml:space="preserve">   Burkina Faso</v>
      </c>
      <c r="C675">
        <v>142950000</v>
      </c>
      <c r="D675">
        <v>102065</v>
      </c>
    </row>
    <row r="676" spans="1:4" x14ac:dyDescent="0.25">
      <c r="A676" t="str">
        <f>T("   BR")</f>
        <v xml:space="preserve">   BR</v>
      </c>
      <c r="B676" t="str">
        <f>T("   Brésil")</f>
        <v xml:space="preserve">   Brésil</v>
      </c>
      <c r="C676">
        <v>550000</v>
      </c>
      <c r="D676">
        <v>700</v>
      </c>
    </row>
    <row r="677" spans="1:4" x14ac:dyDescent="0.25">
      <c r="A677" t="str">
        <f>T("   CD")</f>
        <v xml:space="preserve">   CD</v>
      </c>
      <c r="B677" t="str">
        <f>T("   Congo, République Démocratique")</f>
        <v xml:space="preserve">   Congo, République Démocratique</v>
      </c>
      <c r="C677">
        <v>200000</v>
      </c>
      <c r="D677">
        <v>200</v>
      </c>
    </row>
    <row r="678" spans="1:4" x14ac:dyDescent="0.25">
      <c r="A678" t="str">
        <f>T("   DE")</f>
        <v xml:space="preserve">   DE</v>
      </c>
      <c r="B678" t="str">
        <f>T("   Allemagne")</f>
        <v xml:space="preserve">   Allemagne</v>
      </c>
      <c r="C678">
        <v>500000</v>
      </c>
      <c r="D678">
        <v>10000</v>
      </c>
    </row>
    <row r="679" spans="1:4" x14ac:dyDescent="0.25">
      <c r="A679" t="str">
        <f>T("   DJ")</f>
        <v xml:space="preserve">   DJ</v>
      </c>
      <c r="B679" t="str">
        <f>T("   Djibouti")</f>
        <v xml:space="preserve">   Djibouti</v>
      </c>
      <c r="C679">
        <v>2500000</v>
      </c>
      <c r="D679">
        <v>3119</v>
      </c>
    </row>
    <row r="680" spans="1:4" x14ac:dyDescent="0.25">
      <c r="A680" t="str">
        <f>T("   ID")</f>
        <v xml:space="preserve">   ID</v>
      </c>
      <c r="B680" t="str">
        <f>T("   Indonésie")</f>
        <v xml:space="preserve">   Indonésie</v>
      </c>
      <c r="C680">
        <v>300000</v>
      </c>
      <c r="D680">
        <v>500</v>
      </c>
    </row>
    <row r="681" spans="1:4" x14ac:dyDescent="0.25">
      <c r="A681" t="str">
        <f>T("   MZ")</f>
        <v xml:space="preserve">   MZ</v>
      </c>
      <c r="B681" t="str">
        <f>T("   Mozambique")</f>
        <v xml:space="preserve">   Mozambique</v>
      </c>
      <c r="C681">
        <v>200000</v>
      </c>
      <c r="D681">
        <v>400</v>
      </c>
    </row>
    <row r="682" spans="1:4" x14ac:dyDescent="0.25">
      <c r="A682" t="str">
        <f>T("   NL")</f>
        <v xml:space="preserve">   NL</v>
      </c>
      <c r="B682" t="str">
        <f>T("   Pays-bas")</f>
        <v xml:space="preserve">   Pays-bas</v>
      </c>
      <c r="C682">
        <v>200000</v>
      </c>
      <c r="D682">
        <v>300</v>
      </c>
    </row>
    <row r="683" spans="1:4" x14ac:dyDescent="0.25">
      <c r="A683" t="str">
        <f>T("490700")</f>
        <v>490700</v>
      </c>
      <c r="B683"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84" spans="1:4" x14ac:dyDescent="0.25">
      <c r="A684" t="str">
        <f>T("   ZZZ_Monde")</f>
        <v xml:space="preserve">   ZZZ_Monde</v>
      </c>
      <c r="B684" t="str">
        <f>T("   ZZZ_Monde")</f>
        <v xml:space="preserve">   ZZZ_Monde</v>
      </c>
      <c r="C684">
        <v>184000000</v>
      </c>
      <c r="D684">
        <v>87226</v>
      </c>
    </row>
    <row r="685" spans="1:4" x14ac:dyDescent="0.25">
      <c r="A685" t="str">
        <f>T("   BF")</f>
        <v xml:space="preserve">   BF</v>
      </c>
      <c r="B685" t="str">
        <f>T("   Burkina Faso")</f>
        <v xml:space="preserve">   Burkina Faso</v>
      </c>
      <c r="C685">
        <v>17600000</v>
      </c>
      <c r="D685">
        <v>8122</v>
      </c>
    </row>
    <row r="686" spans="1:4" x14ac:dyDescent="0.25">
      <c r="A686" t="str">
        <f>T("   CI")</f>
        <v xml:space="preserve">   CI</v>
      </c>
      <c r="B686" t="str">
        <f>T("   Côte d'Ivoire")</f>
        <v xml:space="preserve">   Côte d'Ivoire</v>
      </c>
      <c r="C686">
        <v>34600000</v>
      </c>
      <c r="D686">
        <v>16453</v>
      </c>
    </row>
    <row r="687" spans="1:4" x14ac:dyDescent="0.25">
      <c r="A687" t="str">
        <f>T("   FR")</f>
        <v xml:space="preserve">   FR</v>
      </c>
      <c r="B687" t="str">
        <f>T("   France")</f>
        <v xml:space="preserve">   France</v>
      </c>
      <c r="C687">
        <v>93200000</v>
      </c>
      <c r="D687">
        <v>44630</v>
      </c>
    </row>
    <row r="688" spans="1:4" x14ac:dyDescent="0.25">
      <c r="A688" t="str">
        <f>T("   NE")</f>
        <v xml:space="preserve">   NE</v>
      </c>
      <c r="B688" t="str">
        <f>T("   Niger")</f>
        <v xml:space="preserve">   Niger</v>
      </c>
      <c r="C688">
        <v>8300000</v>
      </c>
      <c r="D688">
        <v>3879</v>
      </c>
    </row>
    <row r="689" spans="1:4" x14ac:dyDescent="0.25">
      <c r="A689" t="str">
        <f>T("   TG")</f>
        <v xml:space="preserve">   TG</v>
      </c>
      <c r="B689" t="str">
        <f>T("   Togo")</f>
        <v xml:space="preserve">   Togo</v>
      </c>
      <c r="C689">
        <v>30300000</v>
      </c>
      <c r="D689">
        <v>14142</v>
      </c>
    </row>
    <row r="690" spans="1:4" x14ac:dyDescent="0.25">
      <c r="A690" t="str">
        <f>T("520100")</f>
        <v>520100</v>
      </c>
      <c r="B690" t="str">
        <f>T("COTON, NON-CARDÉ NI PEIGNÉ")</f>
        <v>COTON, NON-CARDÉ NI PEIGNÉ</v>
      </c>
    </row>
    <row r="691" spans="1:4" x14ac:dyDescent="0.25">
      <c r="A691" t="str">
        <f>T("   ZZZ_Monde")</f>
        <v xml:space="preserve">   ZZZ_Monde</v>
      </c>
      <c r="B691" t="str">
        <f>T("   ZZZ_Monde")</f>
        <v xml:space="preserve">   ZZZ_Monde</v>
      </c>
      <c r="C691">
        <v>64890312110</v>
      </c>
      <c r="D691">
        <v>72905591</v>
      </c>
    </row>
    <row r="692" spans="1:4" x14ac:dyDescent="0.25">
      <c r="A692" t="str">
        <f>T("   CM")</f>
        <v xml:space="preserve">   CM</v>
      </c>
      <c r="B692" t="str">
        <f>T("   Cameroun")</f>
        <v xml:space="preserve">   Cameroun</v>
      </c>
      <c r="C692">
        <v>101535104</v>
      </c>
      <c r="D692">
        <v>95785</v>
      </c>
    </row>
    <row r="693" spans="1:4" x14ac:dyDescent="0.25">
      <c r="A693" t="str">
        <f>T("   CN")</f>
        <v xml:space="preserve">   CN</v>
      </c>
      <c r="B693" t="str">
        <f>T("   Chine")</f>
        <v xml:space="preserve">   Chine</v>
      </c>
      <c r="C693">
        <v>47164457102</v>
      </c>
      <c r="D693">
        <v>54270772</v>
      </c>
    </row>
    <row r="694" spans="1:4" x14ac:dyDescent="0.25">
      <c r="A694" t="str">
        <f>T("   EG")</f>
        <v xml:space="preserve">   EG</v>
      </c>
      <c r="B694" t="str">
        <f>T("   Egypte")</f>
        <v xml:space="preserve">   Egypte</v>
      </c>
      <c r="C694">
        <v>468487885</v>
      </c>
      <c r="D694">
        <v>366004</v>
      </c>
    </row>
    <row r="695" spans="1:4" x14ac:dyDescent="0.25">
      <c r="A695" t="str">
        <f>T("   FR")</f>
        <v xml:space="preserve">   FR</v>
      </c>
      <c r="B695" t="str">
        <f>T("   France")</f>
        <v xml:space="preserve">   France</v>
      </c>
      <c r="C695">
        <v>148705674</v>
      </c>
      <c r="D695">
        <v>118063</v>
      </c>
    </row>
    <row r="696" spans="1:4" x14ac:dyDescent="0.25">
      <c r="A696" t="str">
        <f>T("   GB")</f>
        <v xml:space="preserve">   GB</v>
      </c>
      <c r="B696" t="str">
        <f>T("   Royaume-Uni")</f>
        <v xml:space="preserve">   Royaume-Uni</v>
      </c>
      <c r="C696">
        <v>132457977</v>
      </c>
      <c r="D696">
        <v>172809</v>
      </c>
    </row>
    <row r="697" spans="1:4" x14ac:dyDescent="0.25">
      <c r="A697" t="str">
        <f>T("   ID")</f>
        <v xml:space="preserve">   ID</v>
      </c>
      <c r="B697" t="str">
        <f>T("   Indonésie")</f>
        <v xml:space="preserve">   Indonésie</v>
      </c>
      <c r="C697">
        <v>697081312</v>
      </c>
      <c r="D697">
        <v>681552</v>
      </c>
    </row>
    <row r="698" spans="1:4" x14ac:dyDescent="0.25">
      <c r="A698" t="str">
        <f>T("   IN")</f>
        <v xml:space="preserve">   IN</v>
      </c>
      <c r="B698" t="str">
        <f>T("   Inde")</f>
        <v xml:space="preserve">   Inde</v>
      </c>
      <c r="C698">
        <v>838801765</v>
      </c>
      <c r="D698">
        <v>838534</v>
      </c>
    </row>
    <row r="699" spans="1:4" x14ac:dyDescent="0.25">
      <c r="A699" t="str">
        <f>T("   IT")</f>
        <v xml:space="preserve">   IT</v>
      </c>
      <c r="B699" t="str">
        <f>T("   Italie")</f>
        <v xml:space="preserve">   Italie</v>
      </c>
      <c r="C699">
        <v>111540285</v>
      </c>
      <c r="D699">
        <v>145803</v>
      </c>
    </row>
    <row r="700" spans="1:4" x14ac:dyDescent="0.25">
      <c r="A700" t="str">
        <f>T("   MY")</f>
        <v xml:space="preserve">   MY</v>
      </c>
      <c r="B700" t="str">
        <f>T("   Malaisie")</f>
        <v xml:space="preserve">   Malaisie</v>
      </c>
      <c r="C700">
        <v>13771745207</v>
      </c>
      <c r="D700">
        <v>14476875</v>
      </c>
    </row>
    <row r="701" spans="1:4" x14ac:dyDescent="0.25">
      <c r="A701" t="str">
        <f>T("   PT")</f>
        <v xml:space="preserve">   PT</v>
      </c>
      <c r="B701" t="str">
        <f>T("   Portugal")</f>
        <v xml:space="preserve">   Portugal</v>
      </c>
      <c r="C701">
        <v>114629260</v>
      </c>
      <c r="D701">
        <v>137175</v>
      </c>
    </row>
    <row r="702" spans="1:4" x14ac:dyDescent="0.25">
      <c r="A702" t="str">
        <f>T("   TH")</f>
        <v xml:space="preserve">   TH</v>
      </c>
      <c r="B702" t="str">
        <f>T("   Thaïlande")</f>
        <v xml:space="preserve">   Thaïlande</v>
      </c>
      <c r="C702">
        <v>647662295</v>
      </c>
      <c r="D702">
        <v>765601</v>
      </c>
    </row>
    <row r="703" spans="1:4" x14ac:dyDescent="0.25">
      <c r="A703" t="str">
        <f>T("   TW")</f>
        <v xml:space="preserve">   TW</v>
      </c>
      <c r="B703" t="str">
        <f>T("   Taïwan, Province de Chine")</f>
        <v xml:space="preserve">   Taïwan, Province de Chine</v>
      </c>
      <c r="C703">
        <v>49456760</v>
      </c>
      <c r="D703">
        <v>125660</v>
      </c>
    </row>
    <row r="704" spans="1:4" x14ac:dyDescent="0.25">
      <c r="A704" t="str">
        <f>T("   VN")</f>
        <v xml:space="preserve">   VN</v>
      </c>
      <c r="B704" t="str">
        <f>T("   Vietnam")</f>
        <v xml:space="preserve">   Vietnam</v>
      </c>
      <c r="C704">
        <v>643751484</v>
      </c>
      <c r="D704">
        <v>710958</v>
      </c>
    </row>
    <row r="705" spans="1:4" x14ac:dyDescent="0.25">
      <c r="A705" t="str">
        <f>T("520210")</f>
        <v>520210</v>
      </c>
      <c r="B705" t="str">
        <f>T("Déchets de fils de coton")</f>
        <v>Déchets de fils de coton</v>
      </c>
    </row>
    <row r="706" spans="1:4" x14ac:dyDescent="0.25">
      <c r="A706" t="str">
        <f>T("   ZZZ_Monde")</f>
        <v xml:space="preserve">   ZZZ_Monde</v>
      </c>
      <c r="B706" t="str">
        <f>T("   ZZZ_Monde")</f>
        <v xml:space="preserve">   ZZZ_Monde</v>
      </c>
      <c r="C706">
        <v>500000</v>
      </c>
      <c r="D706">
        <v>60000</v>
      </c>
    </row>
    <row r="707" spans="1:4" x14ac:dyDescent="0.25">
      <c r="A707" t="str">
        <f>T("   CN")</f>
        <v xml:space="preserve">   CN</v>
      </c>
      <c r="B707" t="str">
        <f>T("   Chine")</f>
        <v xml:space="preserve">   Chine</v>
      </c>
      <c r="C707">
        <v>500000</v>
      </c>
      <c r="D707">
        <v>60000</v>
      </c>
    </row>
    <row r="708" spans="1:4" x14ac:dyDescent="0.25">
      <c r="A708" t="str">
        <f>T("520291")</f>
        <v>520291</v>
      </c>
      <c r="B708" t="str">
        <f>T("Effilochés de coton")</f>
        <v>Effilochés de coton</v>
      </c>
    </row>
    <row r="709" spans="1:4" x14ac:dyDescent="0.25">
      <c r="A709" t="str">
        <f>T("   ZZZ_Monde")</f>
        <v xml:space="preserve">   ZZZ_Monde</v>
      </c>
      <c r="B709" t="str">
        <f>T("   ZZZ_Monde")</f>
        <v xml:space="preserve">   ZZZ_Monde</v>
      </c>
      <c r="C709">
        <v>46724621</v>
      </c>
      <c r="D709">
        <v>109586</v>
      </c>
    </row>
    <row r="710" spans="1:4" x14ac:dyDescent="0.25">
      <c r="A710" t="str">
        <f>T("   PT")</f>
        <v xml:space="preserve">   PT</v>
      </c>
      <c r="B710" t="str">
        <f>T("   Portugal")</f>
        <v xml:space="preserve">   Portugal</v>
      </c>
      <c r="C710">
        <v>46724621</v>
      </c>
      <c r="D710">
        <v>109586</v>
      </c>
    </row>
    <row r="711" spans="1:4" x14ac:dyDescent="0.25">
      <c r="A711" t="str">
        <f>T("520512")</f>
        <v>520512</v>
      </c>
      <c r="B711" t="str">
        <f>T("Fils simples de coton, en fibres non peignées, contenant &gt;= 85% en poids de coton, titrant &gt;= 232,56 décitex mais &lt; 714,29 décitex [&gt; 14 numéros métriques mais &lt;= 43 numéros métriques] (sauf les fils à coudre et les fils conditionnés pour la vente au déta")</f>
        <v>Fils simples de coton, en fibres non peignées, contenant &gt;= 85% en poids de coton, titrant &gt;= 232,56 décitex mais &lt; 714,29 décitex [&gt; 14 numéros métriques mais &lt;= 43 numéros métriques] (sauf les fils à coudre et les fils conditionnés pour la vente au déta</v>
      </c>
    </row>
    <row r="712" spans="1:4" x14ac:dyDescent="0.25">
      <c r="A712" t="str">
        <f>T("   ZZZ_Monde")</f>
        <v xml:space="preserve">   ZZZ_Monde</v>
      </c>
      <c r="B712" t="str">
        <f>T("   ZZZ_Monde")</f>
        <v xml:space="preserve">   ZZZ_Monde</v>
      </c>
      <c r="C712">
        <v>348790985</v>
      </c>
      <c r="D712">
        <v>200500</v>
      </c>
    </row>
    <row r="713" spans="1:4" x14ac:dyDescent="0.25">
      <c r="A713" t="str">
        <f>T("   CN")</f>
        <v xml:space="preserve">   CN</v>
      </c>
      <c r="B713" t="str">
        <f>T("   Chine")</f>
        <v xml:space="preserve">   Chine</v>
      </c>
      <c r="C713">
        <v>348790985</v>
      </c>
      <c r="D713">
        <v>200500</v>
      </c>
    </row>
    <row r="714" spans="1:4" x14ac:dyDescent="0.25">
      <c r="A714" t="str">
        <f>T("520812")</f>
        <v>520812</v>
      </c>
      <c r="B714" t="str">
        <f>T("Tissus de coton, écrus, à armure toile, contenant &gt;= 85% en poids de coton, d'un poids &gt; 100 g/m² mais &lt;= 200 g/m²")</f>
        <v>Tissus de coton, écrus, à armure toile, contenant &gt;= 85% en poids de coton, d'un poids &gt; 100 g/m² mais &lt;= 200 g/m²</v>
      </c>
    </row>
    <row r="715" spans="1:4" x14ac:dyDescent="0.25">
      <c r="A715" t="str">
        <f>T("   ZZZ_Monde")</f>
        <v xml:space="preserve">   ZZZ_Monde</v>
      </c>
      <c r="B715" t="str">
        <f>T("   ZZZ_Monde")</f>
        <v xml:space="preserve">   ZZZ_Monde</v>
      </c>
      <c r="C715">
        <v>6441776443</v>
      </c>
      <c r="D715">
        <v>2393743</v>
      </c>
    </row>
    <row r="716" spans="1:4" x14ac:dyDescent="0.25">
      <c r="A716" t="str">
        <f>T("   CI")</f>
        <v xml:space="preserve">   CI</v>
      </c>
      <c r="B716" t="str">
        <f>T("   Côte d'Ivoire")</f>
        <v xml:space="preserve">   Côte d'Ivoire</v>
      </c>
      <c r="C716">
        <v>4564114800</v>
      </c>
      <c r="D716">
        <v>1597602</v>
      </c>
    </row>
    <row r="717" spans="1:4" x14ac:dyDescent="0.25">
      <c r="A717" t="str">
        <f>T("   GH")</f>
        <v xml:space="preserve">   GH</v>
      </c>
      <c r="B717" t="str">
        <f>T("   Ghana")</f>
        <v xml:space="preserve">   Ghana</v>
      </c>
      <c r="C717">
        <v>1430510843</v>
      </c>
      <c r="D717">
        <v>516150</v>
      </c>
    </row>
    <row r="718" spans="1:4" x14ac:dyDescent="0.25">
      <c r="A718" t="str">
        <f>T("   ML")</f>
        <v xml:space="preserve">   ML</v>
      </c>
      <c r="B718" t="str">
        <f>T("   Mali")</f>
        <v xml:space="preserve">   Mali</v>
      </c>
      <c r="C718">
        <v>237206400</v>
      </c>
      <c r="D718">
        <v>161450</v>
      </c>
    </row>
    <row r="719" spans="1:4" x14ac:dyDescent="0.25">
      <c r="A719" t="str">
        <f>T("   NE")</f>
        <v xml:space="preserve">   NE</v>
      </c>
      <c r="B719" t="str">
        <f>T("   Niger")</f>
        <v xml:space="preserve">   Niger</v>
      </c>
      <c r="C719">
        <v>200570000</v>
      </c>
      <c r="D719">
        <v>115186</v>
      </c>
    </row>
    <row r="720" spans="1:4" x14ac:dyDescent="0.25">
      <c r="A720" t="str">
        <f>T("   TG")</f>
        <v xml:space="preserve">   TG</v>
      </c>
      <c r="B720" t="str">
        <f>T("   Togo")</f>
        <v xml:space="preserve">   Togo</v>
      </c>
      <c r="C720">
        <v>9374400</v>
      </c>
      <c r="D720">
        <v>3355</v>
      </c>
    </row>
    <row r="721" spans="1:4" x14ac:dyDescent="0.25">
      <c r="A721" t="str">
        <f>T("520819")</f>
        <v>520819</v>
      </c>
      <c r="B721" t="str">
        <f>T("Tissus de coton, écrus, contenant &gt;= 85% en poids de coton, d'un poids &lt;= 200 g/m² (à l'excl. des tissus à armure toile ou à armure sergé [y.c. le croisé] d'un rapport d'armure &lt;= 4)")</f>
        <v>Tissus de coton, écrus, contenant &gt;= 85% en poids de coton, d'un poids &lt;= 200 g/m² (à l'excl. des tissus à armure toile ou à armure sergé [y.c. le croisé] d'un rapport d'armure &lt;= 4)</v>
      </c>
    </row>
    <row r="722" spans="1:4" x14ac:dyDescent="0.25">
      <c r="A722" t="str">
        <f>T("   ZZZ_Monde")</f>
        <v xml:space="preserve">   ZZZ_Monde</v>
      </c>
      <c r="B722" t="str">
        <f>T("   ZZZ_Monde")</f>
        <v xml:space="preserve">   ZZZ_Monde</v>
      </c>
      <c r="C722">
        <v>25200000</v>
      </c>
      <c r="D722">
        <v>14400</v>
      </c>
    </row>
    <row r="723" spans="1:4" x14ac:dyDescent="0.25">
      <c r="A723" t="str">
        <f>T("   NE")</f>
        <v xml:space="preserve">   NE</v>
      </c>
      <c r="B723" t="str">
        <f>T("   Niger")</f>
        <v xml:space="preserve">   Niger</v>
      </c>
      <c r="C723">
        <v>25200000</v>
      </c>
      <c r="D723">
        <v>14400</v>
      </c>
    </row>
    <row r="724" spans="1:4" x14ac:dyDescent="0.25">
      <c r="A724" t="str">
        <f>T("520852")</f>
        <v>520852</v>
      </c>
      <c r="B724" t="str">
        <f>T("Tissus de coton, imprimés, à armure toile, contenant &gt;= 85% en poids de coton, d'un poids &gt; 100 g/m² mais &lt;= 200 g/m²")</f>
        <v>Tissus de coton, imprimés, à armure toile, contenant &gt;= 85% en poids de coton, d'un poids &gt; 100 g/m² mais &lt;= 200 g/m²</v>
      </c>
    </row>
    <row r="725" spans="1:4" x14ac:dyDescent="0.25">
      <c r="A725" t="str">
        <f>T("   ZZZ_Monde")</f>
        <v xml:space="preserve">   ZZZ_Monde</v>
      </c>
      <c r="B725" t="str">
        <f>T("   ZZZ_Monde")</f>
        <v xml:space="preserve">   ZZZ_Monde</v>
      </c>
      <c r="C725">
        <v>15000000</v>
      </c>
      <c r="D725">
        <v>15000</v>
      </c>
    </row>
    <row r="726" spans="1:4" x14ac:dyDescent="0.25">
      <c r="A726" t="str">
        <f>T("   CG")</f>
        <v xml:space="preserve">   CG</v>
      </c>
      <c r="B726" t="str">
        <f>T("   Congo (Brazzaville)")</f>
        <v xml:space="preserve">   Congo (Brazzaville)</v>
      </c>
      <c r="C726">
        <v>15000000</v>
      </c>
      <c r="D726">
        <v>15000</v>
      </c>
    </row>
    <row r="727" spans="1:4" x14ac:dyDescent="0.25">
      <c r="A727" t="str">
        <f>T("520919")</f>
        <v>520919</v>
      </c>
      <c r="B727" t="str">
        <f>T("Tissus de coton, écrus, contenant &gt;= 85% en poids de coton, d'un poids &gt; 200 g/m² (à l'excl. des tissus à armure toile ou à armure sergé [y.c. le croisé] d'un rapport d'armure &lt;= 4)")</f>
        <v>Tissus de coton, écrus, contenant &gt;= 85% en poids de coton, d'un poids &gt; 200 g/m² (à l'excl. des tissus à armure toile ou à armure sergé [y.c. le croisé] d'un rapport d'armure &lt;= 4)</v>
      </c>
    </row>
    <row r="728" spans="1:4" x14ac:dyDescent="0.25">
      <c r="A728" t="str">
        <f>T("   ZZZ_Monde")</f>
        <v xml:space="preserve">   ZZZ_Monde</v>
      </c>
      <c r="B728" t="str">
        <f>T("   ZZZ_Monde")</f>
        <v xml:space="preserve">   ZZZ_Monde</v>
      </c>
      <c r="C728">
        <v>2000000</v>
      </c>
      <c r="D728">
        <v>726</v>
      </c>
    </row>
    <row r="729" spans="1:4" x14ac:dyDescent="0.25">
      <c r="A729" t="str">
        <f>T("   TG")</f>
        <v xml:space="preserve">   TG</v>
      </c>
      <c r="B729" t="str">
        <f>T("   Togo")</f>
        <v xml:space="preserve">   Togo</v>
      </c>
      <c r="C729">
        <v>2000000</v>
      </c>
      <c r="D729">
        <v>726</v>
      </c>
    </row>
    <row r="730" spans="1:4" x14ac:dyDescent="0.25">
      <c r="A730" t="str">
        <f>T("521019")</f>
        <v>521019</v>
      </c>
      <c r="B730" t="str">
        <f>T("Tissus de coton, écrus, contenant en prédominance, mais &lt; 85% en poids de coton, mélangés principalement ou uniquement avec des fibres synthétiques ou artificielles, d'un poids &lt;= 200 g/m² (à l'excl. des tissus à armure toile ou à armure sergé [y.c. le cr")</f>
        <v>Tissus de coton, écrus, contenant en prédominance, mais &lt; 85% en poids de coton, mélangés principalement ou uniquement avec des fibres synthétiques ou artificielles, d'un poids &lt;= 200 g/m² (à l'excl. des tissus à armure toile ou à armure sergé [y.c. le cr</v>
      </c>
    </row>
    <row r="731" spans="1:4" x14ac:dyDescent="0.25">
      <c r="A731" t="str">
        <f>T("   ZZZ_Monde")</f>
        <v xml:space="preserve">   ZZZ_Monde</v>
      </c>
      <c r="B731" t="str">
        <f>T("   ZZZ_Monde")</f>
        <v xml:space="preserve">   ZZZ_Monde</v>
      </c>
      <c r="C731">
        <v>14777500</v>
      </c>
      <c r="D731">
        <v>14000</v>
      </c>
    </row>
    <row r="732" spans="1:4" x14ac:dyDescent="0.25">
      <c r="A732" t="str">
        <f>T("   NG")</f>
        <v xml:space="preserve">   NG</v>
      </c>
      <c r="B732" t="str">
        <f>T("   Nigéria")</f>
        <v xml:space="preserve">   Nigéria</v>
      </c>
      <c r="C732">
        <v>14777500</v>
      </c>
      <c r="D732">
        <v>14000</v>
      </c>
    </row>
    <row r="733" spans="1:4" x14ac:dyDescent="0.25">
      <c r="A733" t="str">
        <f>T("521211")</f>
        <v>521211</v>
      </c>
      <c r="B733"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734" spans="1:4" x14ac:dyDescent="0.25">
      <c r="A734" t="str">
        <f>T("   ZZZ_Monde")</f>
        <v xml:space="preserve">   ZZZ_Monde</v>
      </c>
      <c r="B734" t="str">
        <f>T("   ZZZ_Monde")</f>
        <v xml:space="preserve">   ZZZ_Monde</v>
      </c>
      <c r="C734">
        <v>173073600</v>
      </c>
      <c r="D734">
        <v>54944</v>
      </c>
    </row>
    <row r="735" spans="1:4" x14ac:dyDescent="0.25">
      <c r="A735" t="str">
        <f>T("   CM")</f>
        <v xml:space="preserve">   CM</v>
      </c>
      <c r="B735" t="str">
        <f>T("   Cameroun")</f>
        <v xml:space="preserve">   Cameroun</v>
      </c>
      <c r="C735">
        <v>173073600</v>
      </c>
      <c r="D735">
        <v>54944</v>
      </c>
    </row>
    <row r="736" spans="1:4" x14ac:dyDescent="0.25">
      <c r="A736" t="str">
        <f>T("521214")</f>
        <v>521214</v>
      </c>
      <c r="B736" t="str">
        <f>T("Tissus de coton, en fils de diverses couleurs, contenant en prédominance, mais &lt; 85% en poids de coton, autres que mélangés principalement ou uniquement avec des fibres synthétiques ou artificielles, d'un poids &lt;= 200 g/m²")</f>
        <v>Tissus de coton, en fils de diverses couleurs, contenant en prédominance, mais &lt; 85% en poids de coton, autres que mélangés principalement ou uniquement avec des fibres synthétiques ou artificielles, d'un poids &lt;= 200 g/m²</v>
      </c>
    </row>
    <row r="737" spans="1:4" x14ac:dyDescent="0.25">
      <c r="A737" t="str">
        <f>T("   ZZZ_Monde")</f>
        <v xml:space="preserve">   ZZZ_Monde</v>
      </c>
      <c r="B737" t="str">
        <f>T("   ZZZ_Monde")</f>
        <v xml:space="preserve">   ZZZ_Monde</v>
      </c>
      <c r="C737">
        <v>40000</v>
      </c>
      <c r="D737">
        <v>15</v>
      </c>
    </row>
    <row r="738" spans="1:4" x14ac:dyDescent="0.25">
      <c r="A738" t="str">
        <f>T("   FR")</f>
        <v xml:space="preserve">   FR</v>
      </c>
      <c r="B738" t="str">
        <f>T("   France")</f>
        <v xml:space="preserve">   France</v>
      </c>
      <c r="C738">
        <v>40000</v>
      </c>
      <c r="D738">
        <v>15</v>
      </c>
    </row>
    <row r="739" spans="1:4" x14ac:dyDescent="0.25">
      <c r="A739" t="str">
        <f>T("521225")</f>
        <v>521225</v>
      </c>
      <c r="B739"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740" spans="1:4" x14ac:dyDescent="0.25">
      <c r="A740" t="str">
        <f>T("   ZZZ_Monde")</f>
        <v xml:space="preserve">   ZZZ_Monde</v>
      </c>
      <c r="B740" t="str">
        <f>T("   ZZZ_Monde")</f>
        <v xml:space="preserve">   ZZZ_Monde</v>
      </c>
      <c r="C740">
        <v>700000</v>
      </c>
      <c r="D740">
        <v>1300</v>
      </c>
    </row>
    <row r="741" spans="1:4" x14ac:dyDescent="0.25">
      <c r="A741" t="str">
        <f>T("   GA")</f>
        <v xml:space="preserve">   GA</v>
      </c>
      <c r="B741" t="str">
        <f>T("   Gabon")</f>
        <v xml:space="preserve">   Gabon</v>
      </c>
      <c r="C741">
        <v>700000</v>
      </c>
      <c r="D741">
        <v>1300</v>
      </c>
    </row>
    <row r="742" spans="1:4" x14ac:dyDescent="0.25">
      <c r="A742" t="str">
        <f>T("560900")</f>
        <v>560900</v>
      </c>
      <c r="B742" t="str">
        <f>T("Articles en fils, lames ou formes simil. du n° 5404 ou 5405, ficelles, cordes ou cordages du n° 5607, n.d.a.")</f>
        <v>Articles en fils, lames ou formes simil. du n° 5404 ou 5405, ficelles, cordes ou cordages du n° 5607, n.d.a.</v>
      </c>
    </row>
    <row r="743" spans="1:4" x14ac:dyDescent="0.25">
      <c r="A743" t="str">
        <f>T("   ZZZ_Monde")</f>
        <v xml:space="preserve">   ZZZ_Monde</v>
      </c>
      <c r="B743" t="str">
        <f>T("   ZZZ_Monde")</f>
        <v xml:space="preserve">   ZZZ_Monde</v>
      </c>
      <c r="C743">
        <v>736175</v>
      </c>
      <c r="D743">
        <v>3</v>
      </c>
    </row>
    <row r="744" spans="1:4" x14ac:dyDescent="0.25">
      <c r="A744" t="str">
        <f>T("   CI")</f>
        <v xml:space="preserve">   CI</v>
      </c>
      <c r="B744" t="str">
        <f>T("   Côte d'Ivoire")</f>
        <v xml:space="preserve">   Côte d'Ivoire</v>
      </c>
      <c r="C744">
        <v>736175</v>
      </c>
      <c r="D744">
        <v>3</v>
      </c>
    </row>
    <row r="745" spans="1:4" x14ac:dyDescent="0.25">
      <c r="A745" t="str">
        <f>T("570299")</f>
        <v>570299</v>
      </c>
      <c r="B745" t="str">
        <f>T("Tapis et autres revêtements de sol, de matières textiles végétales ou de poils grossiers, tissés, non touffetés ni floqués, sans velours, confectionnés (à l'excl. des revêtements de sol en coco ainsi que des tapis dits 'kelim', 'kilim', 'schumacks', 'soum")</f>
        <v>Tapis et autres revêtements de sol, de matières textiles végétales ou de poils grossiers, tissés, non touffetés ni floqués, sans velours, confectionnés (à l'excl. des revêtements de sol en coco ainsi que des tapis dits 'kelim', 'kilim', 'schumacks', 'soum</v>
      </c>
    </row>
    <row r="746" spans="1:4" x14ac:dyDescent="0.25">
      <c r="A746" t="str">
        <f>T("   ZZZ_Monde")</f>
        <v xml:space="preserve">   ZZZ_Monde</v>
      </c>
      <c r="B746" t="str">
        <f>T("   ZZZ_Monde")</f>
        <v xml:space="preserve">   ZZZ_Monde</v>
      </c>
      <c r="C746">
        <v>204081</v>
      </c>
      <c r="D746">
        <v>39</v>
      </c>
    </row>
    <row r="747" spans="1:4" x14ac:dyDescent="0.25">
      <c r="A747" t="str">
        <f>T("   GB")</f>
        <v xml:space="preserve">   GB</v>
      </c>
      <c r="B747" t="str">
        <f>T("   Royaume-Uni")</f>
        <v xml:space="preserve">   Royaume-Uni</v>
      </c>
      <c r="C747">
        <v>204081</v>
      </c>
      <c r="D747">
        <v>39</v>
      </c>
    </row>
    <row r="748" spans="1:4" x14ac:dyDescent="0.25">
      <c r="A748" t="str">
        <f>T("580310")</f>
        <v>580310</v>
      </c>
      <c r="B748" t="str">
        <f>T("Tissus à point de gaze, de coton (à l'excl. des articles de rubanerie du n° 5806)")</f>
        <v>Tissus à point de gaze, de coton (à l'excl. des articles de rubanerie du n° 5806)</v>
      </c>
    </row>
    <row r="749" spans="1:4" x14ac:dyDescent="0.25">
      <c r="A749" t="str">
        <f>T("   ZZZ_Monde")</f>
        <v xml:space="preserve">   ZZZ_Monde</v>
      </c>
      <c r="B749" t="str">
        <f>T("   ZZZ_Monde")</f>
        <v xml:space="preserve">   ZZZ_Monde</v>
      </c>
      <c r="C749">
        <v>28065312</v>
      </c>
      <c r="D749">
        <v>33678</v>
      </c>
    </row>
    <row r="750" spans="1:4" x14ac:dyDescent="0.25">
      <c r="A750" t="str">
        <f>T("   NE")</f>
        <v xml:space="preserve">   NE</v>
      </c>
      <c r="B750" t="str">
        <f>T("   Niger")</f>
        <v xml:space="preserve">   Niger</v>
      </c>
      <c r="C750">
        <v>28065312</v>
      </c>
      <c r="D750">
        <v>33678</v>
      </c>
    </row>
    <row r="751" spans="1:4" x14ac:dyDescent="0.25">
      <c r="A751" t="str">
        <f>T("600690")</f>
        <v>600690</v>
      </c>
      <c r="B751" t="str">
        <f>T("Etoffes de bonneterie, d'une largeur &gt; 30 cm (sauf de fibres synthétiques ou artificielles, coton, laine ou poils fins, étoffes de bonneterie-chaîne, y.c. celles fabriquées sur métiers à galonner, et à l'excl. de celles contenant en poids &gt;= 5% de fils d'")</f>
        <v>Etoffes de bonneterie, d'une largeur &gt; 30 cm (sauf de fibres synthétiques ou artificielles, coton, laine ou poils fins, étoffes de bonneterie-chaîne, y.c. celles fabriquées sur métiers à galonner, et à l'excl. de celles contenant en poids &gt;= 5% de fils d'</v>
      </c>
    </row>
    <row r="752" spans="1:4" x14ac:dyDescent="0.25">
      <c r="A752" t="str">
        <f>T("   ZZZ_Monde")</f>
        <v xml:space="preserve">   ZZZ_Monde</v>
      </c>
      <c r="B752" t="str">
        <f>T("   ZZZ_Monde")</f>
        <v xml:space="preserve">   ZZZ_Monde</v>
      </c>
      <c r="C752">
        <v>2170000</v>
      </c>
      <c r="D752">
        <v>2260</v>
      </c>
    </row>
    <row r="753" spans="1:4" x14ac:dyDescent="0.25">
      <c r="A753" t="str">
        <f>T("   GA")</f>
        <v xml:space="preserve">   GA</v>
      </c>
      <c r="B753" t="str">
        <f>T("   Gabon")</f>
        <v xml:space="preserve">   Gabon</v>
      </c>
      <c r="C753">
        <v>2170000</v>
      </c>
      <c r="D753">
        <v>2260</v>
      </c>
    </row>
    <row r="754" spans="1:4" x14ac:dyDescent="0.25">
      <c r="A754" t="str">
        <f>T("610690")</f>
        <v>610690</v>
      </c>
      <c r="B754" t="str">
        <f>T("Chemisiers, blouses, blouses-chemisiers et chemisettes, en bonneterie, de matières textiles, pour femmes ou fillettes (sauf de coton, fibres synthétiques ou artificielles et sauf T-shirts et gilets de corps)")</f>
        <v>Chemisiers, blouses, blouses-chemisiers et chemisettes, en bonneterie, de matières textiles, pour femmes ou fillettes (sauf de coton, fibres synthétiques ou artificielles et sauf T-shirts et gilets de corps)</v>
      </c>
    </row>
    <row r="755" spans="1:4" x14ac:dyDescent="0.25">
      <c r="A755" t="str">
        <f>T("   ZZZ_Monde")</f>
        <v xml:space="preserve">   ZZZ_Monde</v>
      </c>
      <c r="B755" t="str">
        <f>T("   ZZZ_Monde")</f>
        <v xml:space="preserve">   ZZZ_Monde</v>
      </c>
      <c r="C755">
        <v>3717640</v>
      </c>
      <c r="D755">
        <v>5955</v>
      </c>
    </row>
    <row r="756" spans="1:4" x14ac:dyDescent="0.25">
      <c r="A756" t="str">
        <f>T("   CG")</f>
        <v xml:space="preserve">   CG</v>
      </c>
      <c r="B756" t="str">
        <f>T("   Congo (Brazzaville)")</f>
        <v xml:space="preserve">   Congo (Brazzaville)</v>
      </c>
      <c r="C756">
        <v>2510000</v>
      </c>
      <c r="D756">
        <v>5000</v>
      </c>
    </row>
    <row r="757" spans="1:4" x14ac:dyDescent="0.25">
      <c r="A757" t="str">
        <f>T("   FR")</f>
        <v xml:space="preserve">   FR</v>
      </c>
      <c r="B757" t="str">
        <f>T("   France")</f>
        <v xml:space="preserve">   France</v>
      </c>
      <c r="C757">
        <v>1207640</v>
      </c>
      <c r="D757">
        <v>955</v>
      </c>
    </row>
    <row r="758" spans="1:4" x14ac:dyDescent="0.25">
      <c r="A758" t="str">
        <f>T("611300")</f>
        <v>611300</v>
      </c>
      <c r="B758"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759" spans="1:4" x14ac:dyDescent="0.25">
      <c r="A759" t="str">
        <f>T("   ZZZ_Monde")</f>
        <v xml:space="preserve">   ZZZ_Monde</v>
      </c>
      <c r="B759" t="str">
        <f>T("   ZZZ_Monde")</f>
        <v xml:space="preserve">   ZZZ_Monde</v>
      </c>
      <c r="C759">
        <v>800000</v>
      </c>
      <c r="D759">
        <v>5230</v>
      </c>
    </row>
    <row r="760" spans="1:4" x14ac:dyDescent="0.25">
      <c r="A760" t="str">
        <f>T("   SN")</f>
        <v xml:space="preserve">   SN</v>
      </c>
      <c r="B760" t="str">
        <f>T("   Sénégal")</f>
        <v xml:space="preserve">   Sénégal</v>
      </c>
      <c r="C760">
        <v>800000</v>
      </c>
      <c r="D760">
        <v>5230</v>
      </c>
    </row>
    <row r="761" spans="1:4" x14ac:dyDescent="0.25">
      <c r="A761" t="str">
        <f>T("611490")</f>
        <v>611490</v>
      </c>
      <c r="B761" t="str">
        <f>T("Vêtements spéciaux destinés à des fins professionnelles, sportives ou autres n.d.a., en bonneterie, de matières textiles (sauf de laine, poils fins, coton, fibres synthétiques ou artificielles)")</f>
        <v>Vêtements spéciaux destinés à des fins professionnelles, sportives ou autres n.d.a., en bonneterie, de matières textiles (sauf de laine, poils fins, coton, fibres synthétiques ou artificielles)</v>
      </c>
    </row>
    <row r="762" spans="1:4" x14ac:dyDescent="0.25">
      <c r="A762" t="str">
        <f>T("   ZZZ_Monde")</f>
        <v xml:space="preserve">   ZZZ_Monde</v>
      </c>
      <c r="B762" t="str">
        <f>T("   ZZZ_Monde")</f>
        <v xml:space="preserve">   ZZZ_Monde</v>
      </c>
      <c r="C762">
        <v>15598586</v>
      </c>
      <c r="D762">
        <v>4780</v>
      </c>
    </row>
    <row r="763" spans="1:4" x14ac:dyDescent="0.25">
      <c r="A763" t="str">
        <f>T("   FR")</f>
        <v xml:space="preserve">   FR</v>
      </c>
      <c r="B763" t="str">
        <f>T("   France")</f>
        <v xml:space="preserve">   France</v>
      </c>
      <c r="C763">
        <v>10729395</v>
      </c>
      <c r="D763">
        <v>3900</v>
      </c>
    </row>
    <row r="764" spans="1:4" x14ac:dyDescent="0.25">
      <c r="A764" t="str">
        <f>T("   GA")</f>
        <v xml:space="preserve">   GA</v>
      </c>
      <c r="B764" t="str">
        <f>T("   Gabon")</f>
        <v xml:space="preserve">   Gabon</v>
      </c>
      <c r="C764">
        <v>4869191</v>
      </c>
      <c r="D764">
        <v>880</v>
      </c>
    </row>
    <row r="765" spans="1:4" x14ac:dyDescent="0.25">
      <c r="A765" t="str">
        <f>T("620319")</f>
        <v>620319</v>
      </c>
      <c r="B765"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766" spans="1:4" x14ac:dyDescent="0.25">
      <c r="A766" t="str">
        <f>T("   ZZZ_Monde")</f>
        <v xml:space="preserve">   ZZZ_Monde</v>
      </c>
      <c r="B766" t="str">
        <f>T("   ZZZ_Monde")</f>
        <v xml:space="preserve">   ZZZ_Monde</v>
      </c>
      <c r="C766">
        <v>1200000</v>
      </c>
      <c r="D766">
        <v>5000</v>
      </c>
    </row>
    <row r="767" spans="1:4" x14ac:dyDescent="0.25">
      <c r="A767" t="str">
        <f>T("   FR")</f>
        <v xml:space="preserve">   FR</v>
      </c>
      <c r="B767" t="str">
        <f>T("   France")</f>
        <v xml:space="preserve">   France</v>
      </c>
      <c r="C767">
        <v>1200000</v>
      </c>
      <c r="D767">
        <v>5000</v>
      </c>
    </row>
    <row r="768" spans="1:4" x14ac:dyDescent="0.25">
      <c r="A768" t="str">
        <f>T("620349")</f>
        <v>620349</v>
      </c>
      <c r="B768"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769" spans="1:4" x14ac:dyDescent="0.25">
      <c r="A769" t="str">
        <f>T("   ZZZ_Monde")</f>
        <v xml:space="preserve">   ZZZ_Monde</v>
      </c>
      <c r="B769" t="str">
        <f>T("   ZZZ_Monde")</f>
        <v xml:space="preserve">   ZZZ_Monde</v>
      </c>
      <c r="C769">
        <v>700000</v>
      </c>
      <c r="D769">
        <v>10000</v>
      </c>
    </row>
    <row r="770" spans="1:4" x14ac:dyDescent="0.25">
      <c r="A770" t="str">
        <f>T("   FR")</f>
        <v xml:space="preserve">   FR</v>
      </c>
      <c r="B770" t="str">
        <f>T("   France")</f>
        <v xml:space="preserve">   France</v>
      </c>
      <c r="C770">
        <v>700000</v>
      </c>
      <c r="D770">
        <v>10000</v>
      </c>
    </row>
    <row r="771" spans="1:4" x14ac:dyDescent="0.25">
      <c r="A771" t="str">
        <f>T("620590")</f>
        <v>620590</v>
      </c>
      <c r="B771"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772" spans="1:4" x14ac:dyDescent="0.25">
      <c r="A772" t="str">
        <f>T("   ZZZ_Monde")</f>
        <v xml:space="preserve">   ZZZ_Monde</v>
      </c>
      <c r="B772" t="str">
        <f>T("   ZZZ_Monde")</f>
        <v xml:space="preserve">   ZZZ_Monde</v>
      </c>
      <c r="C772">
        <v>23250000</v>
      </c>
      <c r="D772">
        <v>31059.5</v>
      </c>
    </row>
    <row r="773" spans="1:4" x14ac:dyDescent="0.25">
      <c r="A773" t="str">
        <f>T("   BE")</f>
        <v xml:space="preserve">   BE</v>
      </c>
      <c r="B773" t="str">
        <f>T("   Belgique")</f>
        <v xml:space="preserve">   Belgique</v>
      </c>
      <c r="C773">
        <v>2500000</v>
      </c>
      <c r="D773">
        <v>3250</v>
      </c>
    </row>
    <row r="774" spans="1:4" x14ac:dyDescent="0.25">
      <c r="A774" t="str">
        <f>T("   BF")</f>
        <v xml:space="preserve">   BF</v>
      </c>
      <c r="B774" t="str">
        <f>T("   Burkina Faso")</f>
        <v xml:space="preserve">   Burkina Faso</v>
      </c>
      <c r="C774">
        <v>1550000</v>
      </c>
      <c r="D774">
        <v>1600</v>
      </c>
    </row>
    <row r="775" spans="1:4" x14ac:dyDescent="0.25">
      <c r="A775" t="str">
        <f>T("   BR")</f>
        <v xml:space="preserve">   BR</v>
      </c>
      <c r="B775" t="str">
        <f>T("   Brésil")</f>
        <v xml:space="preserve">   Brésil</v>
      </c>
      <c r="C775">
        <v>1200000</v>
      </c>
      <c r="D775">
        <v>1500</v>
      </c>
    </row>
    <row r="776" spans="1:4" x14ac:dyDescent="0.25">
      <c r="A776" t="str">
        <f>T("   CD")</f>
        <v xml:space="preserve">   CD</v>
      </c>
      <c r="B776" t="str">
        <f>T("   Congo, République Démocratique")</f>
        <v xml:space="preserve">   Congo, République Démocratique</v>
      </c>
      <c r="C776">
        <v>750000</v>
      </c>
      <c r="D776">
        <v>700</v>
      </c>
    </row>
    <row r="777" spans="1:4" x14ac:dyDescent="0.25">
      <c r="A777" t="str">
        <f>T("   CH")</f>
        <v xml:space="preserve">   CH</v>
      </c>
      <c r="B777" t="str">
        <f>T("   Suisse")</f>
        <v xml:space="preserve">   Suisse</v>
      </c>
      <c r="C777">
        <v>550000</v>
      </c>
      <c r="D777">
        <v>800</v>
      </c>
    </row>
    <row r="778" spans="1:4" x14ac:dyDescent="0.25">
      <c r="A778" t="str">
        <f>T("   CI")</f>
        <v xml:space="preserve">   CI</v>
      </c>
      <c r="B778" t="str">
        <f>T("   Côte d'Ivoire")</f>
        <v xml:space="preserve">   Côte d'Ivoire</v>
      </c>
      <c r="C778">
        <v>1500000</v>
      </c>
      <c r="D778">
        <v>1800</v>
      </c>
    </row>
    <row r="779" spans="1:4" x14ac:dyDescent="0.25">
      <c r="A779" t="str">
        <f>T("   CM")</f>
        <v xml:space="preserve">   CM</v>
      </c>
      <c r="B779" t="str">
        <f>T("   Cameroun")</f>
        <v xml:space="preserve">   Cameroun</v>
      </c>
      <c r="C779">
        <v>1250000</v>
      </c>
      <c r="D779">
        <v>1400</v>
      </c>
    </row>
    <row r="780" spans="1:4" x14ac:dyDescent="0.25">
      <c r="A780" t="str">
        <f>T("   DE")</f>
        <v xml:space="preserve">   DE</v>
      </c>
      <c r="B780" t="str">
        <f>T("   Allemagne")</f>
        <v xml:space="preserve">   Allemagne</v>
      </c>
      <c r="C780">
        <v>1800000</v>
      </c>
      <c r="D780">
        <v>2250</v>
      </c>
    </row>
    <row r="781" spans="1:4" x14ac:dyDescent="0.25">
      <c r="A781" t="str">
        <f>T("   DK")</f>
        <v xml:space="preserve">   DK</v>
      </c>
      <c r="B781" t="str">
        <f>T("   Danemark")</f>
        <v xml:space="preserve">   Danemark</v>
      </c>
      <c r="C781">
        <v>300000</v>
      </c>
      <c r="D781">
        <v>200</v>
      </c>
    </row>
    <row r="782" spans="1:4" x14ac:dyDescent="0.25">
      <c r="A782" t="str">
        <f>T("   ET")</f>
        <v xml:space="preserve">   ET</v>
      </c>
      <c r="B782" t="str">
        <f>T("   Ethiopie")</f>
        <v xml:space="preserve">   Ethiopie</v>
      </c>
      <c r="C782">
        <v>400000</v>
      </c>
      <c r="D782">
        <v>500</v>
      </c>
    </row>
    <row r="783" spans="1:4" x14ac:dyDescent="0.25">
      <c r="A783" t="str">
        <f>T("   FR")</f>
        <v xml:space="preserve">   FR</v>
      </c>
      <c r="B783" t="str">
        <f>T("   France")</f>
        <v xml:space="preserve">   France</v>
      </c>
      <c r="C783">
        <v>2350000</v>
      </c>
      <c r="D783">
        <v>2750</v>
      </c>
    </row>
    <row r="784" spans="1:4" x14ac:dyDescent="0.25">
      <c r="A784" t="str">
        <f>T("   GA")</f>
        <v xml:space="preserve">   GA</v>
      </c>
      <c r="B784" t="str">
        <f>T("   Gabon")</f>
        <v xml:space="preserve">   Gabon</v>
      </c>
      <c r="C784">
        <v>1750000</v>
      </c>
      <c r="D784">
        <v>1750</v>
      </c>
    </row>
    <row r="785" spans="1:4" x14ac:dyDescent="0.25">
      <c r="A785" t="str">
        <f>T("   GP")</f>
        <v xml:space="preserve">   GP</v>
      </c>
      <c r="B785" t="str">
        <f>T("   Guadeloupe")</f>
        <v xml:space="preserve">   Guadeloupe</v>
      </c>
      <c r="C785">
        <v>500000</v>
      </c>
      <c r="D785">
        <v>450</v>
      </c>
    </row>
    <row r="786" spans="1:4" x14ac:dyDescent="0.25">
      <c r="A786" t="str">
        <f>T("   GY")</f>
        <v xml:space="preserve">   GY</v>
      </c>
      <c r="B786" t="str">
        <f>T("   Guyane")</f>
        <v xml:space="preserve">   Guyane</v>
      </c>
      <c r="C786">
        <v>200000</v>
      </c>
      <c r="D786">
        <v>100</v>
      </c>
    </row>
    <row r="787" spans="1:4" x14ac:dyDescent="0.25">
      <c r="A787" t="str">
        <f>T("   ID")</f>
        <v xml:space="preserve">   ID</v>
      </c>
      <c r="B787" t="str">
        <f>T("   Indonésie")</f>
        <v xml:space="preserve">   Indonésie</v>
      </c>
      <c r="C787">
        <v>500000</v>
      </c>
      <c r="D787">
        <v>600</v>
      </c>
    </row>
    <row r="788" spans="1:4" x14ac:dyDescent="0.25">
      <c r="A788" t="str">
        <f>T("   KE")</f>
        <v xml:space="preserve">   KE</v>
      </c>
      <c r="B788" t="str">
        <f>T("   Kenya")</f>
        <v xml:space="preserve">   Kenya</v>
      </c>
      <c r="C788">
        <v>700000</v>
      </c>
      <c r="D788">
        <v>500</v>
      </c>
    </row>
    <row r="789" spans="1:4" x14ac:dyDescent="0.25">
      <c r="A789" t="str">
        <f>T("   MG")</f>
        <v xml:space="preserve">   MG</v>
      </c>
      <c r="B789" t="str">
        <f>T("   Madagascar")</f>
        <v xml:space="preserve">   Madagascar</v>
      </c>
      <c r="C789">
        <v>500000</v>
      </c>
      <c r="D789">
        <v>500</v>
      </c>
    </row>
    <row r="790" spans="1:4" x14ac:dyDescent="0.25">
      <c r="A790" t="str">
        <f>T("   NE")</f>
        <v xml:space="preserve">   NE</v>
      </c>
      <c r="B790" t="str">
        <f>T("   Niger")</f>
        <v xml:space="preserve">   Niger</v>
      </c>
      <c r="C790">
        <v>300000</v>
      </c>
      <c r="D790">
        <v>200</v>
      </c>
    </row>
    <row r="791" spans="1:4" x14ac:dyDescent="0.25">
      <c r="A791" t="str">
        <f>T("   NL")</f>
        <v xml:space="preserve">   NL</v>
      </c>
      <c r="B791" t="str">
        <f>T("   Pays-bas")</f>
        <v xml:space="preserve">   Pays-bas</v>
      </c>
      <c r="C791">
        <v>500000</v>
      </c>
      <c r="D791">
        <v>900</v>
      </c>
    </row>
    <row r="792" spans="1:4" x14ac:dyDescent="0.25">
      <c r="A792" t="str">
        <f>T("   SN")</f>
        <v xml:space="preserve">   SN</v>
      </c>
      <c r="B792" t="str">
        <f>T("   Sénégal")</f>
        <v xml:space="preserve">   Sénégal</v>
      </c>
      <c r="C792">
        <v>1500000</v>
      </c>
      <c r="D792">
        <v>2400</v>
      </c>
    </row>
    <row r="793" spans="1:4" x14ac:dyDescent="0.25">
      <c r="A793" t="str">
        <f>T("   US")</f>
        <v xml:space="preserve">   US</v>
      </c>
      <c r="B793" t="str">
        <f>T("   Etats-Unis")</f>
        <v xml:space="preserve">   Etats-Unis</v>
      </c>
      <c r="C793">
        <v>2650000</v>
      </c>
      <c r="D793">
        <v>6909.5</v>
      </c>
    </row>
    <row r="794" spans="1:4" x14ac:dyDescent="0.25">
      <c r="A794" t="str">
        <f>T("621020")</f>
        <v>621020</v>
      </c>
      <c r="B794"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95" spans="1:4" x14ac:dyDescent="0.25">
      <c r="A795" t="str">
        <f>T("   ZZZ_Monde")</f>
        <v xml:space="preserve">   ZZZ_Monde</v>
      </c>
      <c r="B795" t="str">
        <f>T("   ZZZ_Monde")</f>
        <v xml:space="preserve">   ZZZ_Monde</v>
      </c>
      <c r="C795">
        <v>685000</v>
      </c>
      <c r="D795">
        <v>261</v>
      </c>
    </row>
    <row r="796" spans="1:4" x14ac:dyDescent="0.25">
      <c r="A796" t="str">
        <f>T("   FR")</f>
        <v xml:space="preserve">   FR</v>
      </c>
      <c r="B796" t="str">
        <f>T("   France")</f>
        <v xml:space="preserve">   France</v>
      </c>
      <c r="C796">
        <v>685000</v>
      </c>
      <c r="D796">
        <v>261</v>
      </c>
    </row>
    <row r="797" spans="1:4" x14ac:dyDescent="0.25">
      <c r="A797" t="str">
        <f>T("621040")</f>
        <v>621040</v>
      </c>
      <c r="B797"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98" spans="1:4" x14ac:dyDescent="0.25">
      <c r="A798" t="str">
        <f>T("   ZZZ_Monde")</f>
        <v xml:space="preserve">   ZZZ_Monde</v>
      </c>
      <c r="B798" t="str">
        <f>T("   ZZZ_Monde")</f>
        <v xml:space="preserve">   ZZZ_Monde</v>
      </c>
      <c r="C798">
        <v>1500000</v>
      </c>
      <c r="D798">
        <v>1895</v>
      </c>
    </row>
    <row r="799" spans="1:4" x14ac:dyDescent="0.25">
      <c r="A799" t="str">
        <f>T("   US")</f>
        <v xml:space="preserve">   US</v>
      </c>
      <c r="B799" t="str">
        <f>T("   Etats-Unis")</f>
        <v xml:space="preserve">   Etats-Unis</v>
      </c>
      <c r="C799">
        <v>1500000</v>
      </c>
      <c r="D799">
        <v>1895</v>
      </c>
    </row>
    <row r="800" spans="1:4" x14ac:dyDescent="0.25">
      <c r="A800" t="str">
        <f>T("621050")</f>
        <v>621050</v>
      </c>
      <c r="B800"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801" spans="1:4" x14ac:dyDescent="0.25">
      <c r="A801" t="str">
        <f>T("   ZZZ_Monde")</f>
        <v xml:space="preserve">   ZZZ_Monde</v>
      </c>
      <c r="B801" t="str">
        <f>T("   ZZZ_Monde")</f>
        <v xml:space="preserve">   ZZZ_Monde</v>
      </c>
      <c r="C801">
        <v>6250746</v>
      </c>
      <c r="D801">
        <v>6532</v>
      </c>
    </row>
    <row r="802" spans="1:4" x14ac:dyDescent="0.25">
      <c r="A802" t="str">
        <f>T("   BE")</f>
        <v xml:space="preserve">   BE</v>
      </c>
      <c r="B802" t="str">
        <f>T("   Belgique")</f>
        <v xml:space="preserve">   Belgique</v>
      </c>
      <c r="C802">
        <v>2000000</v>
      </c>
      <c r="D802">
        <v>2290</v>
      </c>
    </row>
    <row r="803" spans="1:4" x14ac:dyDescent="0.25">
      <c r="A803" t="str">
        <f>T("   FR")</f>
        <v xml:space="preserve">   FR</v>
      </c>
      <c r="B803" t="str">
        <f>T("   France")</f>
        <v xml:space="preserve">   France</v>
      </c>
      <c r="C803">
        <v>555050</v>
      </c>
      <c r="D803">
        <v>290</v>
      </c>
    </row>
    <row r="804" spans="1:4" x14ac:dyDescent="0.25">
      <c r="A804" t="str">
        <f>T("   TG")</f>
        <v xml:space="preserve">   TG</v>
      </c>
      <c r="B804" t="str">
        <f>T("   Togo")</f>
        <v xml:space="preserve">   Togo</v>
      </c>
      <c r="C804">
        <v>641126</v>
      </c>
      <c r="D804">
        <v>185</v>
      </c>
    </row>
    <row r="805" spans="1:4" x14ac:dyDescent="0.25">
      <c r="A805" t="str">
        <f>T("   US")</f>
        <v xml:space="preserve">   US</v>
      </c>
      <c r="B805" t="str">
        <f>T("   Etats-Unis")</f>
        <v xml:space="preserve">   Etats-Unis</v>
      </c>
      <c r="C805">
        <v>3054570</v>
      </c>
      <c r="D805">
        <v>3767</v>
      </c>
    </row>
    <row r="806" spans="1:4" x14ac:dyDescent="0.25">
      <c r="A806" t="str">
        <f>T("621149")</f>
        <v>621149</v>
      </c>
      <c r="B806"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807" spans="1:4" x14ac:dyDescent="0.25">
      <c r="A807" t="str">
        <f>T("   ZZZ_Monde")</f>
        <v xml:space="preserve">   ZZZ_Monde</v>
      </c>
      <c r="B807" t="str">
        <f>T("   ZZZ_Monde")</f>
        <v xml:space="preserve">   ZZZ_Monde</v>
      </c>
      <c r="C807">
        <v>1500000</v>
      </c>
      <c r="D807">
        <v>7800</v>
      </c>
    </row>
    <row r="808" spans="1:4" x14ac:dyDescent="0.25">
      <c r="A808" t="str">
        <f>T("   SD")</f>
        <v xml:space="preserve">   SD</v>
      </c>
      <c r="B808" t="str">
        <f>T("   Soudan")</f>
        <v xml:space="preserve">   Soudan</v>
      </c>
      <c r="C808">
        <v>1500000</v>
      </c>
      <c r="D808">
        <v>7800</v>
      </c>
    </row>
    <row r="809" spans="1:4" x14ac:dyDescent="0.25">
      <c r="A809" t="str">
        <f>T("621490")</f>
        <v>621490</v>
      </c>
      <c r="B809" t="str">
        <f>T("Châles, écharpes, foulards, cache-nez, cache-col, mantilles, voiles et voilettes et articles simil., de matières textiles (autres que de laine, poils fins, fibres synthétiques ou artificielles, soie et déchets de soie et autres qu'en bonneterie)")</f>
        <v>Châles, écharpes, foulards, cache-nez, cache-col, mantilles, voiles et voilettes et articles simil., de matières textiles (autres que de laine, poils fins, fibres synthétiques ou artificielles, soie et déchets de soie et autres qu'en bonneterie)</v>
      </c>
    </row>
    <row r="810" spans="1:4" x14ac:dyDescent="0.25">
      <c r="A810" t="str">
        <f>T("   ZZZ_Monde")</f>
        <v xml:space="preserve">   ZZZ_Monde</v>
      </c>
      <c r="B810" t="str">
        <f>T("   ZZZ_Monde")</f>
        <v xml:space="preserve">   ZZZ_Monde</v>
      </c>
      <c r="C810">
        <v>1200000</v>
      </c>
      <c r="D810">
        <v>800</v>
      </c>
    </row>
    <row r="811" spans="1:4" x14ac:dyDescent="0.25">
      <c r="A811" t="str">
        <f>T("   DE")</f>
        <v xml:space="preserve">   DE</v>
      </c>
      <c r="B811" t="str">
        <f>T("   Allemagne")</f>
        <v xml:space="preserve">   Allemagne</v>
      </c>
      <c r="C811">
        <v>1200000</v>
      </c>
      <c r="D811">
        <v>800</v>
      </c>
    </row>
    <row r="812" spans="1:4" x14ac:dyDescent="0.25">
      <c r="A812" t="str">
        <f>T("630510")</f>
        <v>630510</v>
      </c>
      <c r="B812" t="str">
        <f>T("Sacs et sachets d'emballage de jute ou d'autres fibres textiles libériennes du n° 5303")</f>
        <v>Sacs et sachets d'emballage de jute ou d'autres fibres textiles libériennes du n° 5303</v>
      </c>
    </row>
    <row r="813" spans="1:4" x14ac:dyDescent="0.25">
      <c r="A813" t="str">
        <f>T("   ZZZ_Monde")</f>
        <v xml:space="preserve">   ZZZ_Monde</v>
      </c>
      <c r="B813" t="str">
        <f>T("   ZZZ_Monde")</f>
        <v xml:space="preserve">   ZZZ_Monde</v>
      </c>
      <c r="C813">
        <v>88794493</v>
      </c>
      <c r="D813">
        <v>159901</v>
      </c>
    </row>
    <row r="814" spans="1:4" x14ac:dyDescent="0.25">
      <c r="A814" t="str">
        <f>T("   IN")</f>
        <v xml:space="preserve">   IN</v>
      </c>
      <c r="B814" t="str">
        <f>T("   Inde")</f>
        <v xml:space="preserve">   Inde</v>
      </c>
      <c r="C814">
        <v>88794493</v>
      </c>
      <c r="D814">
        <v>159901</v>
      </c>
    </row>
    <row r="815" spans="1:4" x14ac:dyDescent="0.25">
      <c r="A815" t="str">
        <f>T("630533")</f>
        <v>630533</v>
      </c>
      <c r="B815"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816" spans="1:4" x14ac:dyDescent="0.25">
      <c r="A816" t="str">
        <f>T("   ZZZ_Monde")</f>
        <v xml:space="preserve">   ZZZ_Monde</v>
      </c>
      <c r="B816" t="str">
        <f>T("   ZZZ_Monde")</f>
        <v xml:space="preserve">   ZZZ_Monde</v>
      </c>
      <c r="C816">
        <v>45500000</v>
      </c>
      <c r="D816">
        <v>16660</v>
      </c>
    </row>
    <row r="817" spans="1:4" x14ac:dyDescent="0.25">
      <c r="A817" t="str">
        <f>T("   CI")</f>
        <v xml:space="preserve">   CI</v>
      </c>
      <c r="B817" t="str">
        <f>T("   Côte d'Ivoire")</f>
        <v xml:space="preserve">   Côte d'Ivoire</v>
      </c>
      <c r="C817">
        <v>45500000</v>
      </c>
      <c r="D817">
        <v>16660</v>
      </c>
    </row>
    <row r="818" spans="1:4" x14ac:dyDescent="0.25">
      <c r="A818" t="str">
        <f>T("630539")</f>
        <v>630539</v>
      </c>
      <c r="B818"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819" spans="1:4" x14ac:dyDescent="0.25">
      <c r="A819" t="str">
        <f>T("   ZZZ_Monde")</f>
        <v xml:space="preserve">   ZZZ_Monde</v>
      </c>
      <c r="B819" t="str">
        <f>T("   ZZZ_Monde")</f>
        <v xml:space="preserve">   ZZZ_Monde</v>
      </c>
      <c r="C819">
        <v>41000</v>
      </c>
      <c r="D819">
        <v>85</v>
      </c>
    </row>
    <row r="820" spans="1:4" x14ac:dyDescent="0.25">
      <c r="A820" t="str">
        <f>T("   CD")</f>
        <v xml:space="preserve">   CD</v>
      </c>
      <c r="B820" t="str">
        <f>T("   Congo, République Démocratique")</f>
        <v xml:space="preserve">   Congo, République Démocratique</v>
      </c>
      <c r="C820">
        <v>41000</v>
      </c>
      <c r="D820">
        <v>85</v>
      </c>
    </row>
    <row r="821" spans="1:4" x14ac:dyDescent="0.25">
      <c r="A821" t="str">
        <f>T("630720")</f>
        <v>630720</v>
      </c>
      <c r="B821" t="str">
        <f>T("Ceintures et gilets de sauvetage en tous types de matières textiles")</f>
        <v>Ceintures et gilets de sauvetage en tous types de matières textiles</v>
      </c>
    </row>
    <row r="822" spans="1:4" x14ac:dyDescent="0.25">
      <c r="A822" t="str">
        <f>T("   ZZZ_Monde")</f>
        <v xml:space="preserve">   ZZZ_Monde</v>
      </c>
      <c r="B822" t="str">
        <f>T("   ZZZ_Monde")</f>
        <v xml:space="preserve">   ZZZ_Monde</v>
      </c>
      <c r="C822">
        <v>1508052</v>
      </c>
      <c r="D822">
        <v>114</v>
      </c>
    </row>
    <row r="823" spans="1:4" x14ac:dyDescent="0.25">
      <c r="A823" t="str">
        <f>T("   FR")</f>
        <v xml:space="preserve">   FR</v>
      </c>
      <c r="B823" t="str">
        <f>T("   France")</f>
        <v xml:space="preserve">   France</v>
      </c>
      <c r="C823">
        <v>1508052</v>
      </c>
      <c r="D823">
        <v>114</v>
      </c>
    </row>
    <row r="824" spans="1:4" x14ac:dyDescent="0.25">
      <c r="A824" t="str">
        <f>T("630790")</f>
        <v>630790</v>
      </c>
      <c r="B824" t="str">
        <f>T("Articles de matières textiles, confectionnés, y.c. les patrons de vêtements n.d.a.")</f>
        <v>Articles de matières textiles, confectionnés, y.c. les patrons de vêtements n.d.a.</v>
      </c>
    </row>
    <row r="825" spans="1:4" x14ac:dyDescent="0.25">
      <c r="A825" t="str">
        <f>T("   ZZZ_Monde")</f>
        <v xml:space="preserve">   ZZZ_Monde</v>
      </c>
      <c r="B825" t="str">
        <f>T("   ZZZ_Monde")</f>
        <v xml:space="preserve">   ZZZ_Monde</v>
      </c>
      <c r="C825">
        <v>72317</v>
      </c>
      <c r="D825">
        <v>5</v>
      </c>
    </row>
    <row r="826" spans="1:4" x14ac:dyDescent="0.25">
      <c r="A826" t="str">
        <f>T("   CI")</f>
        <v xml:space="preserve">   CI</v>
      </c>
      <c r="B826" t="str">
        <f>T("   Côte d'Ivoire")</f>
        <v xml:space="preserve">   Côte d'Ivoire</v>
      </c>
      <c r="C826">
        <v>72317</v>
      </c>
      <c r="D826">
        <v>5</v>
      </c>
    </row>
    <row r="827" spans="1:4" x14ac:dyDescent="0.25">
      <c r="A827" t="str">
        <f>T("630900")</f>
        <v>630900</v>
      </c>
      <c r="B827"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828" spans="1:4" x14ac:dyDescent="0.25">
      <c r="A828" t="str">
        <f>T("   ZZZ_Monde")</f>
        <v xml:space="preserve">   ZZZ_Monde</v>
      </c>
      <c r="B828" t="str">
        <f>T("   ZZZ_Monde")</f>
        <v xml:space="preserve">   ZZZ_Monde</v>
      </c>
      <c r="C828">
        <v>19166541</v>
      </c>
      <c r="D828">
        <v>22544</v>
      </c>
    </row>
    <row r="829" spans="1:4" x14ac:dyDescent="0.25">
      <c r="A829" t="str">
        <f>T("   CI")</f>
        <v xml:space="preserve">   CI</v>
      </c>
      <c r="B829" t="str">
        <f>T("   Côte d'Ivoire")</f>
        <v xml:space="preserve">   Côte d'Ivoire</v>
      </c>
      <c r="C829">
        <v>12100000</v>
      </c>
      <c r="D829">
        <v>19000</v>
      </c>
    </row>
    <row r="830" spans="1:4" x14ac:dyDescent="0.25">
      <c r="A830" t="str">
        <f>T("   GH")</f>
        <v xml:space="preserve">   GH</v>
      </c>
      <c r="B830" t="str">
        <f>T("   Ghana")</f>
        <v xml:space="preserve">   Ghana</v>
      </c>
      <c r="C830">
        <v>4066541</v>
      </c>
      <c r="D830">
        <v>3124</v>
      </c>
    </row>
    <row r="831" spans="1:4" x14ac:dyDescent="0.25">
      <c r="A831" t="str">
        <f>T("   TG")</f>
        <v xml:space="preserve">   TG</v>
      </c>
      <c r="B831" t="str">
        <f>T("   Togo")</f>
        <v xml:space="preserve">   Togo</v>
      </c>
      <c r="C831">
        <v>3000000</v>
      </c>
      <c r="D831">
        <v>420</v>
      </c>
    </row>
    <row r="832" spans="1:4" x14ac:dyDescent="0.25">
      <c r="A832" t="str">
        <f>T("631090")</f>
        <v>631090</v>
      </c>
      <c r="B832" t="str">
        <f>T("Chiffons en tous types de matières textiles ainsi que ficelles, cordes et cordages et articles composés de ceux-ci, de matières textiles, sous forme de déchets ou d'articles hors d'usage, non triés")</f>
        <v>Chiffons en tous types de matières textiles ainsi que ficelles, cordes et cordages et articles composés de ceux-ci, de matières textiles, sous forme de déchets ou d'articles hors d'usage, non triés</v>
      </c>
    </row>
    <row r="833" spans="1:4" x14ac:dyDescent="0.25">
      <c r="A833" t="str">
        <f>T("   ZZZ_Monde")</f>
        <v xml:space="preserve">   ZZZ_Monde</v>
      </c>
      <c r="B833" t="str">
        <f>T("   ZZZ_Monde")</f>
        <v xml:space="preserve">   ZZZ_Monde</v>
      </c>
      <c r="C833">
        <v>2000000</v>
      </c>
      <c r="D833">
        <v>30000</v>
      </c>
    </row>
    <row r="834" spans="1:4" x14ac:dyDescent="0.25">
      <c r="A834" t="str">
        <f>T("   IN")</f>
        <v xml:space="preserve">   IN</v>
      </c>
      <c r="B834" t="str">
        <f>T("   Inde")</f>
        <v xml:space="preserve">   Inde</v>
      </c>
      <c r="C834">
        <v>2000000</v>
      </c>
      <c r="D834">
        <v>30000</v>
      </c>
    </row>
    <row r="835" spans="1:4" x14ac:dyDescent="0.25">
      <c r="A835" t="str">
        <f>T("640199")</f>
        <v>640199</v>
      </c>
      <c r="B835"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836" spans="1:4" x14ac:dyDescent="0.25">
      <c r="A836" t="str">
        <f>T("   ZZZ_Monde")</f>
        <v xml:space="preserve">   ZZZ_Monde</v>
      </c>
      <c r="B836" t="str">
        <f>T("   ZZZ_Monde")</f>
        <v xml:space="preserve">   ZZZ_Monde</v>
      </c>
      <c r="C836">
        <v>3300000</v>
      </c>
      <c r="D836">
        <v>5025</v>
      </c>
    </row>
    <row r="837" spans="1:4" x14ac:dyDescent="0.25">
      <c r="A837" t="str">
        <f>T("   NE")</f>
        <v xml:space="preserve">   NE</v>
      </c>
      <c r="B837" t="str">
        <f>T("   Niger")</f>
        <v xml:space="preserve">   Niger</v>
      </c>
      <c r="C837">
        <v>3300000</v>
      </c>
      <c r="D837">
        <v>5025</v>
      </c>
    </row>
    <row r="838" spans="1:4" x14ac:dyDescent="0.25">
      <c r="A838" t="str">
        <f>T("640299")</f>
        <v>640299</v>
      </c>
      <c r="B838"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839" spans="1:4" x14ac:dyDescent="0.25">
      <c r="A839" t="str">
        <f>T("   ZZZ_Monde")</f>
        <v xml:space="preserve">   ZZZ_Monde</v>
      </c>
      <c r="B839" t="str">
        <f>T("   ZZZ_Monde")</f>
        <v xml:space="preserve">   ZZZ_Monde</v>
      </c>
      <c r="C839">
        <v>2625260</v>
      </c>
      <c r="D839">
        <v>1500</v>
      </c>
    </row>
    <row r="840" spans="1:4" x14ac:dyDescent="0.25">
      <c r="A840" t="str">
        <f>T("   FR")</f>
        <v xml:space="preserve">   FR</v>
      </c>
      <c r="B840" t="str">
        <f>T("   France")</f>
        <v xml:space="preserve">   France</v>
      </c>
      <c r="C840">
        <v>2625260</v>
      </c>
      <c r="D840">
        <v>1500</v>
      </c>
    </row>
    <row r="841" spans="1:4" x14ac:dyDescent="0.25">
      <c r="A841" t="str">
        <f>T("640590")</f>
        <v>640590</v>
      </c>
      <c r="B841"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842" spans="1:4" x14ac:dyDescent="0.25">
      <c r="A842" t="str">
        <f>T("   ZZZ_Monde")</f>
        <v xml:space="preserve">   ZZZ_Monde</v>
      </c>
      <c r="B842" t="str">
        <f>T("   ZZZ_Monde")</f>
        <v xml:space="preserve">   ZZZ_Monde</v>
      </c>
      <c r="C842">
        <v>8000000</v>
      </c>
      <c r="D842">
        <v>18000</v>
      </c>
    </row>
    <row r="843" spans="1:4" x14ac:dyDescent="0.25">
      <c r="A843" t="str">
        <f>T("   SN")</f>
        <v xml:space="preserve">   SN</v>
      </c>
      <c r="B843" t="str">
        <f>T("   Sénégal")</f>
        <v xml:space="preserve">   Sénégal</v>
      </c>
      <c r="C843">
        <v>8000000</v>
      </c>
      <c r="D843">
        <v>18000</v>
      </c>
    </row>
    <row r="844" spans="1:4" x14ac:dyDescent="0.25">
      <c r="A844" t="str">
        <f>T("660199")</f>
        <v>660199</v>
      </c>
      <c r="B844"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845" spans="1:4" x14ac:dyDescent="0.25">
      <c r="A845" t="str">
        <f>T("   ZZZ_Monde")</f>
        <v xml:space="preserve">   ZZZ_Monde</v>
      </c>
      <c r="B845" t="str">
        <f>T("   ZZZ_Monde")</f>
        <v xml:space="preserve">   ZZZ_Monde</v>
      </c>
      <c r="C845">
        <v>40500000</v>
      </c>
      <c r="D845">
        <v>4767</v>
      </c>
    </row>
    <row r="846" spans="1:4" x14ac:dyDescent="0.25">
      <c r="A846" t="str">
        <f>T("   FR")</f>
        <v xml:space="preserve">   FR</v>
      </c>
      <c r="B846" t="str">
        <f>T("   France")</f>
        <v xml:space="preserve">   France</v>
      </c>
      <c r="C846">
        <v>13500000</v>
      </c>
      <c r="D846">
        <v>1589</v>
      </c>
    </row>
    <row r="847" spans="1:4" x14ac:dyDescent="0.25">
      <c r="A847" t="str">
        <f>T("   ML")</f>
        <v xml:space="preserve">   ML</v>
      </c>
      <c r="B847" t="str">
        <f>T("   Mali")</f>
        <v xml:space="preserve">   Mali</v>
      </c>
      <c r="C847">
        <v>27000000</v>
      </c>
      <c r="D847">
        <v>3178</v>
      </c>
    </row>
    <row r="848" spans="1:4" x14ac:dyDescent="0.25">
      <c r="A848" t="str">
        <f>T("680100")</f>
        <v>680100</v>
      </c>
      <c r="B848" t="str">
        <f>T("Pavés, bordures de trottoirs et dalles de pavage, en pierres naturelles (autres que l'ardoise)")</f>
        <v>Pavés, bordures de trottoirs et dalles de pavage, en pierres naturelles (autres que l'ardoise)</v>
      </c>
    </row>
    <row r="849" spans="1:4" x14ac:dyDescent="0.25">
      <c r="A849" t="str">
        <f>T("   ZZZ_Monde")</f>
        <v xml:space="preserve">   ZZZ_Monde</v>
      </c>
      <c r="B849" t="str">
        <f>T("   ZZZ_Monde")</f>
        <v xml:space="preserve">   ZZZ_Monde</v>
      </c>
      <c r="C849">
        <v>7600</v>
      </c>
      <c r="D849">
        <v>650</v>
      </c>
    </row>
    <row r="850" spans="1:4" x14ac:dyDescent="0.25">
      <c r="A850" t="str">
        <f>T("   CI")</f>
        <v xml:space="preserve">   CI</v>
      </c>
      <c r="B850" t="str">
        <f>T("   Côte d'Ivoire")</f>
        <v xml:space="preserve">   Côte d'Ivoire</v>
      </c>
      <c r="C850">
        <v>7600</v>
      </c>
      <c r="D850">
        <v>650</v>
      </c>
    </row>
    <row r="851" spans="1:4" x14ac:dyDescent="0.25">
      <c r="A851" t="str">
        <f>T("680222")</f>
        <v>680222</v>
      </c>
      <c r="B851" t="str">
        <f>T("Pierres calcaires autres que marbre, travertin et albâtre et ouvrages en ces pierres, simplement taillés ou sciés et à surface plane ou unie (sauf à surface entièrement ou partiellement rabotée, poncée au papier sablé, grossièrement ou finement meulée ou")</f>
        <v>Pierres calcaires autres que marbre, travertin et albâtre et ouvrages en ces pierres, simplement taillés ou sciés et à surface plane ou unie (sauf à surface entièrement ou partiellement rabotée, poncée au papier sablé, grossièrement ou finement meulée ou</v>
      </c>
    </row>
    <row r="852" spans="1:4" x14ac:dyDescent="0.25">
      <c r="A852" t="str">
        <f>T("   ZZZ_Monde")</f>
        <v xml:space="preserve">   ZZZ_Monde</v>
      </c>
      <c r="B852" t="str">
        <f>T("   ZZZ_Monde")</f>
        <v xml:space="preserve">   ZZZ_Monde</v>
      </c>
      <c r="C852">
        <v>2200000</v>
      </c>
      <c r="D852">
        <v>44000</v>
      </c>
    </row>
    <row r="853" spans="1:4" x14ac:dyDescent="0.25">
      <c r="A853" t="str">
        <f>T("   SN")</f>
        <v xml:space="preserve">   SN</v>
      </c>
      <c r="B853" t="str">
        <f>T("   Sénégal")</f>
        <v xml:space="preserve">   Sénégal</v>
      </c>
      <c r="C853">
        <v>2200000</v>
      </c>
      <c r="D853">
        <v>44000</v>
      </c>
    </row>
    <row r="854" spans="1:4" x14ac:dyDescent="0.25">
      <c r="A854" t="str">
        <f>T("680229")</f>
        <v>680229</v>
      </c>
      <c r="B854"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855" spans="1:4" x14ac:dyDescent="0.25">
      <c r="A855" t="str">
        <f>T("   ZZZ_Monde")</f>
        <v xml:space="preserve">   ZZZ_Monde</v>
      </c>
      <c r="B855" t="str">
        <f>T("   ZZZ_Monde")</f>
        <v xml:space="preserve">   ZZZ_Monde</v>
      </c>
      <c r="C855">
        <v>4243942</v>
      </c>
      <c r="D855">
        <v>15000</v>
      </c>
    </row>
    <row r="856" spans="1:4" x14ac:dyDescent="0.25">
      <c r="A856" t="str">
        <f>T("   FR")</f>
        <v xml:space="preserve">   FR</v>
      </c>
      <c r="B856" t="str">
        <f>T("   France")</f>
        <v xml:space="preserve">   France</v>
      </c>
      <c r="C856">
        <v>4243942</v>
      </c>
      <c r="D856">
        <v>15000</v>
      </c>
    </row>
    <row r="857" spans="1:4" x14ac:dyDescent="0.25">
      <c r="A857" t="str">
        <f>T("680911")</f>
        <v>680911</v>
      </c>
      <c r="B857" t="str">
        <f>T("Planches, plaques, panneaux, carreaux et articles simil., en plâtre ou en compositions à base de plâtre, non ornementés, revêtus ou renforcés de papier ou de carton uniquement (sauf ouvrages à liaison en plâtre à usage d'isolants thermiques ou sonores ou")</f>
        <v>Planches, plaques, panneaux, carreaux et articles simil., en plâtre ou en compositions à base de plâtre, non ornementés, revêtus ou renforcés de papier ou de carton uniquement (sauf ouvrages à liaison en plâtre à usage d'isolants thermiques ou sonores ou</v>
      </c>
    </row>
    <row r="858" spans="1:4" x14ac:dyDescent="0.25">
      <c r="A858" t="str">
        <f>T("   ZZZ_Monde")</f>
        <v xml:space="preserve">   ZZZ_Monde</v>
      </c>
      <c r="B858" t="str">
        <f>T("   ZZZ_Monde")</f>
        <v xml:space="preserve">   ZZZ_Monde</v>
      </c>
      <c r="C858">
        <v>2072879</v>
      </c>
      <c r="D858">
        <v>399</v>
      </c>
    </row>
    <row r="859" spans="1:4" x14ac:dyDescent="0.25">
      <c r="A859" t="str">
        <f>T("   GB")</f>
        <v xml:space="preserve">   GB</v>
      </c>
      <c r="B859" t="str">
        <f>T("   Royaume-Uni")</f>
        <v xml:space="preserve">   Royaume-Uni</v>
      </c>
      <c r="C859">
        <v>2072879</v>
      </c>
      <c r="D859">
        <v>399</v>
      </c>
    </row>
    <row r="860" spans="1:4" x14ac:dyDescent="0.25">
      <c r="A860" t="str">
        <f>T("681019")</f>
        <v>681019</v>
      </c>
      <c r="B860"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861" spans="1:4" x14ac:dyDescent="0.25">
      <c r="A861" t="str">
        <f>T("   ZZZ_Monde")</f>
        <v xml:space="preserve">   ZZZ_Monde</v>
      </c>
      <c r="B861" t="str">
        <f>T("   ZZZ_Monde")</f>
        <v xml:space="preserve">   ZZZ_Monde</v>
      </c>
      <c r="C861">
        <v>66918400</v>
      </c>
      <c r="D861">
        <v>484424</v>
      </c>
    </row>
    <row r="862" spans="1:4" x14ac:dyDescent="0.25">
      <c r="A862" t="str">
        <f>T("   BF")</f>
        <v xml:space="preserve">   BF</v>
      </c>
      <c r="B862" t="str">
        <f>T("   Burkina Faso")</f>
        <v xml:space="preserve">   Burkina Faso</v>
      </c>
      <c r="C862">
        <v>11088000</v>
      </c>
      <c r="D862">
        <v>39656</v>
      </c>
    </row>
    <row r="863" spans="1:4" x14ac:dyDescent="0.25">
      <c r="A863" t="str">
        <f>T("   CI")</f>
        <v xml:space="preserve">   CI</v>
      </c>
      <c r="B863" t="str">
        <f>T("   Côte d'Ivoire")</f>
        <v xml:space="preserve">   Côte d'Ivoire</v>
      </c>
      <c r="C863">
        <v>18406400</v>
      </c>
      <c r="D863">
        <v>83396</v>
      </c>
    </row>
    <row r="864" spans="1:4" x14ac:dyDescent="0.25">
      <c r="A864" t="str">
        <f>T("   ML")</f>
        <v xml:space="preserve">   ML</v>
      </c>
      <c r="B864" t="str">
        <f>T("   Mali")</f>
        <v xml:space="preserve">   Mali</v>
      </c>
      <c r="C864">
        <v>3612000</v>
      </c>
      <c r="D864">
        <v>40421</v>
      </c>
    </row>
    <row r="865" spans="1:4" x14ac:dyDescent="0.25">
      <c r="A865" t="str">
        <f>T("   TG")</f>
        <v xml:space="preserve">   TG</v>
      </c>
      <c r="B865" t="str">
        <f>T("   Togo")</f>
        <v xml:space="preserve">   Togo</v>
      </c>
      <c r="C865">
        <v>33812000</v>
      </c>
      <c r="D865">
        <v>320951</v>
      </c>
    </row>
    <row r="866" spans="1:4" x14ac:dyDescent="0.25">
      <c r="A866" t="str">
        <f>T("690510")</f>
        <v>690510</v>
      </c>
      <c r="B866" t="str">
        <f>T("Tuiles")</f>
        <v>Tuiles</v>
      </c>
    </row>
    <row r="867" spans="1:4" x14ac:dyDescent="0.25">
      <c r="A867" t="str">
        <f>T("   ZZZ_Monde")</f>
        <v xml:space="preserve">   ZZZ_Monde</v>
      </c>
      <c r="B867" t="str">
        <f>T("   ZZZ_Monde")</f>
        <v xml:space="preserve">   ZZZ_Monde</v>
      </c>
      <c r="C867">
        <v>140901</v>
      </c>
      <c r="D867">
        <v>1200</v>
      </c>
    </row>
    <row r="868" spans="1:4" x14ac:dyDescent="0.25">
      <c r="A868" t="str">
        <f>T("   NE")</f>
        <v xml:space="preserve">   NE</v>
      </c>
      <c r="B868" t="str">
        <f>T("   Niger")</f>
        <v xml:space="preserve">   Niger</v>
      </c>
      <c r="C868">
        <v>140901</v>
      </c>
      <c r="D868">
        <v>1200</v>
      </c>
    </row>
    <row r="869" spans="1:4" x14ac:dyDescent="0.25">
      <c r="A869" t="str">
        <f>T("690810")</f>
        <v>690810</v>
      </c>
      <c r="B869"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870" spans="1:4" x14ac:dyDescent="0.25">
      <c r="A870" t="str">
        <f>T("   ZZZ_Monde")</f>
        <v xml:space="preserve">   ZZZ_Monde</v>
      </c>
      <c r="B870" t="str">
        <f>T("   ZZZ_Monde")</f>
        <v xml:space="preserve">   ZZZ_Monde</v>
      </c>
      <c r="C870">
        <v>500000</v>
      </c>
      <c r="D870">
        <v>2000</v>
      </c>
    </row>
    <row r="871" spans="1:4" x14ac:dyDescent="0.25">
      <c r="A871" t="str">
        <f>T("   NE")</f>
        <v xml:space="preserve">   NE</v>
      </c>
      <c r="B871" t="str">
        <f>T("   Niger")</f>
        <v xml:space="preserve">   Niger</v>
      </c>
      <c r="C871">
        <v>500000</v>
      </c>
      <c r="D871">
        <v>2000</v>
      </c>
    </row>
    <row r="872" spans="1:4" x14ac:dyDescent="0.25">
      <c r="A872" t="str">
        <f>T("690890")</f>
        <v>690890</v>
      </c>
      <c r="B872"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873" spans="1:4" x14ac:dyDescent="0.25">
      <c r="A873" t="str">
        <f>T("   ZZZ_Monde")</f>
        <v xml:space="preserve">   ZZZ_Monde</v>
      </c>
      <c r="B873" t="str">
        <f>T("   ZZZ_Monde")</f>
        <v xml:space="preserve">   ZZZ_Monde</v>
      </c>
      <c r="C873">
        <v>880629</v>
      </c>
      <c r="D873">
        <v>4000</v>
      </c>
    </row>
    <row r="874" spans="1:4" x14ac:dyDescent="0.25">
      <c r="A874" t="str">
        <f>T("   NE")</f>
        <v xml:space="preserve">   NE</v>
      </c>
      <c r="B874" t="str">
        <f>T("   Niger")</f>
        <v xml:space="preserve">   Niger</v>
      </c>
      <c r="C874">
        <v>880629</v>
      </c>
      <c r="D874">
        <v>4000</v>
      </c>
    </row>
    <row r="875" spans="1:4" x14ac:dyDescent="0.25">
      <c r="A875" t="str">
        <f>T("691200")</f>
        <v>691200</v>
      </c>
      <c r="B875"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876" spans="1:4" x14ac:dyDescent="0.25">
      <c r="A876" t="str">
        <f>T("   ZZZ_Monde")</f>
        <v xml:space="preserve">   ZZZ_Monde</v>
      </c>
      <c r="B876" t="str">
        <f>T("   ZZZ_Monde")</f>
        <v xml:space="preserve">   ZZZ_Monde</v>
      </c>
      <c r="C876">
        <v>1424000</v>
      </c>
      <c r="D876">
        <v>11000</v>
      </c>
    </row>
    <row r="877" spans="1:4" x14ac:dyDescent="0.25">
      <c r="A877" t="str">
        <f>T("   CG")</f>
        <v xml:space="preserve">   CG</v>
      </c>
      <c r="B877" t="str">
        <f>T("   Congo (Brazzaville)")</f>
        <v xml:space="preserve">   Congo (Brazzaville)</v>
      </c>
      <c r="C877">
        <v>1424000</v>
      </c>
      <c r="D877">
        <v>11000</v>
      </c>
    </row>
    <row r="878" spans="1:4" x14ac:dyDescent="0.25">
      <c r="A878" t="str">
        <f>T("700529")</f>
        <v>700529</v>
      </c>
      <c r="B878"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879" spans="1:4" x14ac:dyDescent="0.25">
      <c r="A879" t="str">
        <f>T("   ZZZ_Monde")</f>
        <v xml:space="preserve">   ZZZ_Monde</v>
      </c>
      <c r="B879" t="str">
        <f>T("   ZZZ_Monde")</f>
        <v xml:space="preserve">   ZZZ_Monde</v>
      </c>
      <c r="C879">
        <v>11582547</v>
      </c>
      <c r="D879">
        <v>25927</v>
      </c>
    </row>
    <row r="880" spans="1:4" x14ac:dyDescent="0.25">
      <c r="A880" t="str">
        <f>T("   BE")</f>
        <v xml:space="preserve">   BE</v>
      </c>
      <c r="B880" t="str">
        <f>T("   Belgique")</f>
        <v xml:space="preserve">   Belgique</v>
      </c>
      <c r="C880">
        <v>3610112</v>
      </c>
      <c r="D880">
        <v>1264</v>
      </c>
    </row>
    <row r="881" spans="1:4" x14ac:dyDescent="0.25">
      <c r="A881" t="str">
        <f>T("   CI")</f>
        <v xml:space="preserve">   CI</v>
      </c>
      <c r="B881" t="str">
        <f>T("   Côte d'Ivoire")</f>
        <v xml:space="preserve">   Côte d'Ivoire</v>
      </c>
      <c r="C881">
        <v>6120763</v>
      </c>
      <c r="D881">
        <v>23204</v>
      </c>
    </row>
    <row r="882" spans="1:4" x14ac:dyDescent="0.25">
      <c r="A882" t="str">
        <f>T("   US")</f>
        <v xml:space="preserve">   US</v>
      </c>
      <c r="B882" t="str">
        <f>T("   Etats-Unis")</f>
        <v xml:space="preserve">   Etats-Unis</v>
      </c>
      <c r="C882">
        <v>1851672</v>
      </c>
      <c r="D882">
        <v>1459</v>
      </c>
    </row>
    <row r="883" spans="1:4" x14ac:dyDescent="0.25">
      <c r="A883" t="str">
        <f>T("700721")</f>
        <v>700721</v>
      </c>
      <c r="B883" t="str">
        <f>T("VERRES FORMÉS DE FEUILLES CONTRECOLLÉES, DE DIMENSIONS ET FORMATS PERMETTANT LEUR EMPLOI DANS LES AUTOMOBILES, VÉHICULES AÉRIENS, BATEAUX OU AUTRES VÉHICULES (À L'EXCL. DES VITRAGES ISOLANTS À PAROIS MULTIPLES) [01/01/1988-31/12/1988: PARE-BRISE FORMES DE")</f>
        <v>VERRES FORMÉS DE FEUILLES CONTRECOLLÉES, DE DIMENSIONS ET FORMATS PERMETTANT LEUR EMPLOI DANS LES AUTOMOBILES, VÉHICULES AÉRIENS, BATEAUX OU AUTRES VÉHICULES (À L'EXCL. DES VITRAGES ISOLANTS À PAROIS MULTIPLES) [01/01/1988-31/12/1988: PARE-BRISE FORMES DE</v>
      </c>
    </row>
    <row r="884" spans="1:4" x14ac:dyDescent="0.25">
      <c r="A884" t="str">
        <f>T("   ZZZ_Monde")</f>
        <v xml:space="preserve">   ZZZ_Monde</v>
      </c>
      <c r="B884" t="str">
        <f>T("   ZZZ_Monde")</f>
        <v xml:space="preserve">   ZZZ_Monde</v>
      </c>
      <c r="C884">
        <v>170000</v>
      </c>
      <c r="D884">
        <v>125</v>
      </c>
    </row>
    <row r="885" spans="1:4" x14ac:dyDescent="0.25">
      <c r="A885" t="str">
        <f>T("   GN")</f>
        <v xml:space="preserve">   GN</v>
      </c>
      <c r="B885" t="str">
        <f>T("   Guinée")</f>
        <v xml:space="preserve">   Guinée</v>
      </c>
      <c r="C885">
        <v>170000</v>
      </c>
      <c r="D885">
        <v>125</v>
      </c>
    </row>
    <row r="886" spans="1:4" x14ac:dyDescent="0.25">
      <c r="A886" t="str">
        <f>T("701090")</f>
        <v>701090</v>
      </c>
      <c r="B886"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87" spans="1:4" x14ac:dyDescent="0.25">
      <c r="A887" t="str">
        <f>T("   ZZZ_Monde")</f>
        <v xml:space="preserve">   ZZZ_Monde</v>
      </c>
      <c r="B887" t="str">
        <f>T("   ZZZ_Monde")</f>
        <v xml:space="preserve">   ZZZ_Monde</v>
      </c>
      <c r="C887">
        <v>32813020</v>
      </c>
      <c r="D887">
        <v>255060</v>
      </c>
    </row>
    <row r="888" spans="1:4" x14ac:dyDescent="0.25">
      <c r="A888" t="str">
        <f>T("   GN")</f>
        <v xml:space="preserve">   GN</v>
      </c>
      <c r="B888" t="str">
        <f>T("   Guinée")</f>
        <v xml:space="preserve">   Guinée</v>
      </c>
      <c r="C888">
        <v>30293020</v>
      </c>
      <c r="D888">
        <v>235440</v>
      </c>
    </row>
    <row r="889" spans="1:4" x14ac:dyDescent="0.25">
      <c r="A889" t="str">
        <f>T("   NE")</f>
        <v xml:space="preserve">   NE</v>
      </c>
      <c r="B889" t="str">
        <f>T("   Niger")</f>
        <v xml:space="preserve">   Niger</v>
      </c>
      <c r="C889">
        <v>2520000</v>
      </c>
      <c r="D889">
        <v>19620</v>
      </c>
    </row>
    <row r="890" spans="1:4" x14ac:dyDescent="0.25">
      <c r="A890" t="str">
        <f>T("720219")</f>
        <v>720219</v>
      </c>
      <c r="B890" t="str">
        <f>T("Ferromanganèse, teneur en poids en carbone &lt;= 2%")</f>
        <v>Ferromanganèse, teneur en poids en carbone &lt;= 2%</v>
      </c>
    </row>
    <row r="891" spans="1:4" x14ac:dyDescent="0.25">
      <c r="A891" t="str">
        <f>T("   ZZZ_Monde")</f>
        <v xml:space="preserve">   ZZZ_Monde</v>
      </c>
      <c r="B891" t="str">
        <f>T("   ZZZ_Monde")</f>
        <v xml:space="preserve">   ZZZ_Monde</v>
      </c>
      <c r="C891">
        <v>5000000</v>
      </c>
      <c r="D891">
        <v>390000</v>
      </c>
    </row>
    <row r="892" spans="1:4" x14ac:dyDescent="0.25">
      <c r="A892" t="str">
        <f>T("   IN")</f>
        <v xml:space="preserve">   IN</v>
      </c>
      <c r="B892" t="str">
        <f>T("   Inde")</f>
        <v xml:space="preserve">   Inde</v>
      </c>
      <c r="C892">
        <v>5000000</v>
      </c>
      <c r="D892">
        <v>390000</v>
      </c>
    </row>
    <row r="893" spans="1:4" x14ac:dyDescent="0.25">
      <c r="A893" t="str">
        <f>T("720429")</f>
        <v>720429</v>
      </c>
      <c r="B893"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894" spans="1:4" x14ac:dyDescent="0.25">
      <c r="A894" t="str">
        <f>T("   ZZZ_Monde")</f>
        <v xml:space="preserve">   ZZZ_Monde</v>
      </c>
      <c r="B894" t="str">
        <f>T("   ZZZ_Monde")</f>
        <v xml:space="preserve">   ZZZ_Monde</v>
      </c>
      <c r="C894">
        <v>385862300</v>
      </c>
      <c r="D894">
        <v>8006806</v>
      </c>
    </row>
    <row r="895" spans="1:4" x14ac:dyDescent="0.25">
      <c r="A895" t="str">
        <f>T("   AE")</f>
        <v xml:space="preserve">   AE</v>
      </c>
      <c r="B895" t="str">
        <f>T("   Emirats Arabes Unis")</f>
        <v xml:space="preserve">   Emirats Arabes Unis</v>
      </c>
      <c r="C895">
        <v>5000000</v>
      </c>
      <c r="D895">
        <v>100000</v>
      </c>
    </row>
    <row r="896" spans="1:4" x14ac:dyDescent="0.25">
      <c r="A896" t="str">
        <f>T("   BE")</f>
        <v xml:space="preserve">   BE</v>
      </c>
      <c r="B896" t="str">
        <f>T("   Belgique")</f>
        <v xml:space="preserve">   Belgique</v>
      </c>
      <c r="C896">
        <v>350000</v>
      </c>
      <c r="D896">
        <v>860</v>
      </c>
    </row>
    <row r="897" spans="1:4" x14ac:dyDescent="0.25">
      <c r="A897" t="str">
        <f>T("   CN")</f>
        <v xml:space="preserve">   CN</v>
      </c>
      <c r="B897" t="str">
        <f>T("   Chine")</f>
        <v xml:space="preserve">   Chine</v>
      </c>
      <c r="C897">
        <v>19000000</v>
      </c>
      <c r="D897">
        <v>410000</v>
      </c>
    </row>
    <row r="898" spans="1:4" x14ac:dyDescent="0.25">
      <c r="A898" t="str">
        <f>T("   CO")</f>
        <v xml:space="preserve">   CO</v>
      </c>
      <c r="B898" t="str">
        <f>T("   Colombie")</f>
        <v xml:space="preserve">   Colombie</v>
      </c>
      <c r="C898">
        <v>2500000</v>
      </c>
      <c r="D898">
        <v>50000</v>
      </c>
    </row>
    <row r="899" spans="1:4" x14ac:dyDescent="0.25">
      <c r="A899" t="str">
        <f>T("   DE")</f>
        <v xml:space="preserve">   DE</v>
      </c>
      <c r="B899" t="str">
        <f>T("   Allemagne")</f>
        <v xml:space="preserve">   Allemagne</v>
      </c>
      <c r="C899">
        <v>1500000</v>
      </c>
      <c r="D899">
        <v>30000</v>
      </c>
    </row>
    <row r="900" spans="1:4" x14ac:dyDescent="0.25">
      <c r="A900" t="str">
        <f>T("   ES")</f>
        <v xml:space="preserve">   ES</v>
      </c>
      <c r="B900" t="str">
        <f>T("   Espagne")</f>
        <v xml:space="preserve">   Espagne</v>
      </c>
      <c r="C900">
        <v>500000</v>
      </c>
      <c r="D900">
        <v>10000</v>
      </c>
    </row>
    <row r="901" spans="1:4" x14ac:dyDescent="0.25">
      <c r="A901" t="str">
        <f>T("   GH")</f>
        <v xml:space="preserve">   GH</v>
      </c>
      <c r="B901" t="str">
        <f>T("   Ghana")</f>
        <v xml:space="preserve">   Ghana</v>
      </c>
      <c r="C901">
        <v>700000</v>
      </c>
      <c r="D901">
        <v>14000</v>
      </c>
    </row>
    <row r="902" spans="1:4" x14ac:dyDescent="0.25">
      <c r="A902" t="str">
        <f>T("   ID")</f>
        <v xml:space="preserve">   ID</v>
      </c>
      <c r="B902" t="str">
        <f>T("   Indonésie")</f>
        <v xml:space="preserve">   Indonésie</v>
      </c>
      <c r="C902">
        <v>19310000</v>
      </c>
      <c r="D902">
        <v>446200</v>
      </c>
    </row>
    <row r="903" spans="1:4" x14ac:dyDescent="0.25">
      <c r="A903" t="str">
        <f>T("   IN")</f>
        <v xml:space="preserve">   IN</v>
      </c>
      <c r="B903" t="str">
        <f>T("   Inde")</f>
        <v xml:space="preserve">   Inde</v>
      </c>
      <c r="C903">
        <v>187294300</v>
      </c>
      <c r="D903">
        <v>3931586</v>
      </c>
    </row>
    <row r="904" spans="1:4" x14ac:dyDescent="0.25">
      <c r="A904" t="str">
        <f>T("   JP")</f>
        <v xml:space="preserve">   JP</v>
      </c>
      <c r="B904" t="str">
        <f>T("   Japon")</f>
        <v xml:space="preserve">   Japon</v>
      </c>
      <c r="C904">
        <v>1008000</v>
      </c>
      <c r="D904">
        <v>20160</v>
      </c>
    </row>
    <row r="905" spans="1:4" x14ac:dyDescent="0.25">
      <c r="A905" t="str">
        <f>T("   KR")</f>
        <v xml:space="preserve">   KR</v>
      </c>
      <c r="B905" t="str">
        <f>T("   Corée, République de")</f>
        <v xml:space="preserve">   Corée, République de</v>
      </c>
      <c r="C905">
        <v>5000000</v>
      </c>
      <c r="D905">
        <v>100000</v>
      </c>
    </row>
    <row r="906" spans="1:4" x14ac:dyDescent="0.25">
      <c r="A906" t="str">
        <f>T("   TH")</f>
        <v xml:space="preserve">   TH</v>
      </c>
      <c r="B906" t="str">
        <f>T("   Thaïlande")</f>
        <v xml:space="preserve">   Thaïlande</v>
      </c>
      <c r="C906">
        <v>3600000</v>
      </c>
      <c r="D906">
        <v>72000</v>
      </c>
    </row>
    <row r="907" spans="1:4" x14ac:dyDescent="0.25">
      <c r="A907" t="str">
        <f>T("   TW")</f>
        <v xml:space="preserve">   TW</v>
      </c>
      <c r="B907" t="str">
        <f>T("   Taïwan, Province de Chine")</f>
        <v xml:space="preserve">   Taïwan, Province de Chine</v>
      </c>
      <c r="C907">
        <v>500000</v>
      </c>
      <c r="D907">
        <v>10000</v>
      </c>
    </row>
    <row r="908" spans="1:4" x14ac:dyDescent="0.25">
      <c r="A908" t="str">
        <f>T("   US")</f>
        <v xml:space="preserve">   US</v>
      </c>
      <c r="B908" t="str">
        <f>T("   Etats-Unis")</f>
        <v xml:space="preserve">   Etats-Unis</v>
      </c>
      <c r="C908">
        <v>500000</v>
      </c>
      <c r="D908">
        <v>10000</v>
      </c>
    </row>
    <row r="909" spans="1:4" x14ac:dyDescent="0.25">
      <c r="A909" t="str">
        <f>T("   VN")</f>
        <v xml:space="preserve">   VN</v>
      </c>
      <c r="B909" t="str">
        <f>T("   Vietnam")</f>
        <v xml:space="preserve">   Vietnam</v>
      </c>
      <c r="C909">
        <v>139100000</v>
      </c>
      <c r="D909">
        <v>2802000</v>
      </c>
    </row>
    <row r="910" spans="1:4" x14ac:dyDescent="0.25">
      <c r="A910" t="str">
        <f>T("720430")</f>
        <v>720430</v>
      </c>
      <c r="B910" t="str">
        <f>T("DÉCHETS ET DÉBRIS DE FER OU D'ACIER ÉTAMÉS [FERRAILLES] (AUTRES QUE RADIOACTIFS ET DÉCHETS ET DÉBRIS DE PILES, DE BATTERIES DE PILES ET D'ACCUMULATEURS ÉLECTRIQUES)")</f>
        <v>DÉCHETS ET DÉBRIS DE FER OU D'ACIER ÉTAMÉS [FERRAILLES] (AUTRES QUE RADIOACTIFS ET DÉCHETS ET DÉBRIS DE PILES, DE BATTERIES DE PILES ET D'ACCUMULATEURS ÉLECTRIQUES)</v>
      </c>
    </row>
    <row r="911" spans="1:4" x14ac:dyDescent="0.25">
      <c r="A911" t="str">
        <f>T("   ZZZ_Monde")</f>
        <v xml:space="preserve">   ZZZ_Monde</v>
      </c>
      <c r="B911" t="str">
        <f>T("   ZZZ_Monde")</f>
        <v xml:space="preserve">   ZZZ_Monde</v>
      </c>
      <c r="C911">
        <v>810485500</v>
      </c>
      <c r="D911">
        <v>17851960</v>
      </c>
    </row>
    <row r="912" spans="1:4" x14ac:dyDescent="0.25">
      <c r="A912" t="str">
        <f>T("   AE")</f>
        <v xml:space="preserve">   AE</v>
      </c>
      <c r="B912" t="str">
        <f>T("   Emirats Arabes Unis")</f>
        <v xml:space="preserve">   Emirats Arabes Unis</v>
      </c>
      <c r="C912">
        <v>34022000</v>
      </c>
      <c r="D912">
        <v>680440</v>
      </c>
    </row>
    <row r="913" spans="1:4" x14ac:dyDescent="0.25">
      <c r="A913" t="str">
        <f>T("   CH")</f>
        <v xml:space="preserve">   CH</v>
      </c>
      <c r="B913" t="str">
        <f>T("   Suisse")</f>
        <v xml:space="preserve">   Suisse</v>
      </c>
      <c r="C913">
        <v>5000000</v>
      </c>
      <c r="D913">
        <v>100000</v>
      </c>
    </row>
    <row r="914" spans="1:4" x14ac:dyDescent="0.25">
      <c r="A914" t="str">
        <f>T("   CN")</f>
        <v xml:space="preserve">   CN</v>
      </c>
      <c r="B914" t="str">
        <f>T("   Chine")</f>
        <v xml:space="preserve">   Chine</v>
      </c>
      <c r="C914">
        <v>222574000</v>
      </c>
      <c r="D914">
        <v>4459500</v>
      </c>
    </row>
    <row r="915" spans="1:4" x14ac:dyDescent="0.25">
      <c r="A915" t="str">
        <f>T("   ES")</f>
        <v xml:space="preserve">   ES</v>
      </c>
      <c r="B915" t="str">
        <f>T("   Espagne")</f>
        <v xml:space="preserve">   Espagne</v>
      </c>
      <c r="C915">
        <v>2500000</v>
      </c>
      <c r="D915">
        <v>50000</v>
      </c>
    </row>
    <row r="916" spans="1:4" x14ac:dyDescent="0.25">
      <c r="A916" t="str">
        <f>T("   GR")</f>
        <v xml:space="preserve">   GR</v>
      </c>
      <c r="B916" t="str">
        <f>T("   Grèce")</f>
        <v xml:space="preserve">   Grèce</v>
      </c>
      <c r="C916">
        <v>500000</v>
      </c>
      <c r="D916">
        <v>10000</v>
      </c>
    </row>
    <row r="917" spans="1:4" x14ac:dyDescent="0.25">
      <c r="A917" t="str">
        <f>T("   ID")</f>
        <v xml:space="preserve">   ID</v>
      </c>
      <c r="B917" t="str">
        <f>T("   Indonésie")</f>
        <v xml:space="preserve">   Indonésie</v>
      </c>
      <c r="C917">
        <v>10946000</v>
      </c>
      <c r="D917">
        <v>218920</v>
      </c>
    </row>
    <row r="918" spans="1:4" x14ac:dyDescent="0.25">
      <c r="A918" t="str">
        <f>T("   IN")</f>
        <v xml:space="preserve">   IN</v>
      </c>
      <c r="B918" t="str">
        <f>T("   Inde")</f>
        <v xml:space="preserve">   Inde</v>
      </c>
      <c r="C918">
        <v>433395500</v>
      </c>
      <c r="D918">
        <v>9632140</v>
      </c>
    </row>
    <row r="919" spans="1:4" x14ac:dyDescent="0.25">
      <c r="A919" t="str">
        <f>T("   IT")</f>
        <v xml:space="preserve">   IT</v>
      </c>
      <c r="B919" t="str">
        <f>T("   Italie")</f>
        <v xml:space="preserve">   Italie</v>
      </c>
      <c r="C919">
        <v>1000000</v>
      </c>
      <c r="D919">
        <v>20000</v>
      </c>
    </row>
    <row r="920" spans="1:4" x14ac:dyDescent="0.25">
      <c r="A920" t="str">
        <f>T("   JP")</f>
        <v xml:space="preserve">   JP</v>
      </c>
      <c r="B920" t="str">
        <f>T("   Japon")</f>
        <v xml:space="preserve">   Japon</v>
      </c>
      <c r="C920">
        <v>6483000</v>
      </c>
      <c r="D920">
        <v>129660</v>
      </c>
    </row>
    <row r="921" spans="1:4" x14ac:dyDescent="0.25">
      <c r="A921" t="str">
        <f>T("   KP")</f>
        <v xml:space="preserve">   KP</v>
      </c>
      <c r="B921" t="str">
        <f>T("   Corée, Rép. Populaire Démocratique")</f>
        <v xml:space="preserve">   Corée, Rép. Populaire Démocratique</v>
      </c>
      <c r="C921">
        <v>9750000</v>
      </c>
      <c r="D921">
        <v>195000</v>
      </c>
    </row>
    <row r="922" spans="1:4" x14ac:dyDescent="0.25">
      <c r="A922" t="str">
        <f>T("   KR")</f>
        <v xml:space="preserve">   KR</v>
      </c>
      <c r="B922" t="str">
        <f>T("   Corée, République de")</f>
        <v xml:space="preserve">   Corée, République de</v>
      </c>
      <c r="C922">
        <v>23500000</v>
      </c>
      <c r="D922">
        <v>470000</v>
      </c>
    </row>
    <row r="923" spans="1:4" x14ac:dyDescent="0.25">
      <c r="A923" t="str">
        <f>T("   MA")</f>
        <v xml:space="preserve">   MA</v>
      </c>
      <c r="B923" t="str">
        <f>T("   Maroc")</f>
        <v xml:space="preserve">   Maroc</v>
      </c>
      <c r="C923">
        <v>500000</v>
      </c>
      <c r="D923">
        <v>10000</v>
      </c>
    </row>
    <row r="924" spans="1:4" x14ac:dyDescent="0.25">
      <c r="A924" t="str">
        <f>T("   NL")</f>
        <v xml:space="preserve">   NL</v>
      </c>
      <c r="B924" t="str">
        <f>T("   Pays-bas")</f>
        <v xml:space="preserve">   Pays-bas</v>
      </c>
      <c r="C924">
        <v>1840000</v>
      </c>
      <c r="D924">
        <v>36800</v>
      </c>
    </row>
    <row r="925" spans="1:4" x14ac:dyDescent="0.25">
      <c r="A925" t="str">
        <f>T("   TH")</f>
        <v xml:space="preserve">   TH</v>
      </c>
      <c r="B925" t="str">
        <f>T("   Thaïlande")</f>
        <v xml:space="preserve">   Thaïlande</v>
      </c>
      <c r="C925">
        <v>7143000</v>
      </c>
      <c r="D925">
        <v>142860</v>
      </c>
    </row>
    <row r="926" spans="1:4" x14ac:dyDescent="0.25">
      <c r="A926" t="str">
        <f>T("   TW")</f>
        <v xml:space="preserve">   TW</v>
      </c>
      <c r="B926" t="str">
        <f>T("   Taïwan, Province de Chine")</f>
        <v xml:space="preserve">   Taïwan, Province de Chine</v>
      </c>
      <c r="C926">
        <v>500000</v>
      </c>
      <c r="D926">
        <v>10000</v>
      </c>
    </row>
    <row r="927" spans="1:4" x14ac:dyDescent="0.25">
      <c r="A927" t="str">
        <f>T("   VN")</f>
        <v xml:space="preserve">   VN</v>
      </c>
      <c r="B927" t="str">
        <f>T("   Vietnam")</f>
        <v xml:space="preserve">   Vietnam</v>
      </c>
      <c r="C927">
        <v>50832000</v>
      </c>
      <c r="D927">
        <v>1686640</v>
      </c>
    </row>
    <row r="928" spans="1:4" x14ac:dyDescent="0.25">
      <c r="A928" t="str">
        <f>T("720449")</f>
        <v>720449</v>
      </c>
      <c r="B928"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929" spans="1:4" x14ac:dyDescent="0.25">
      <c r="A929" t="str">
        <f>T("   ZZZ_Monde")</f>
        <v xml:space="preserve">   ZZZ_Monde</v>
      </c>
      <c r="B929" t="str">
        <f>T("   ZZZ_Monde")</f>
        <v xml:space="preserve">   ZZZ_Monde</v>
      </c>
      <c r="C929">
        <v>844634000</v>
      </c>
      <c r="D929">
        <v>25436160</v>
      </c>
    </row>
    <row r="930" spans="1:4" x14ac:dyDescent="0.25">
      <c r="A930" t="str">
        <f>T("   AE")</f>
        <v xml:space="preserve">   AE</v>
      </c>
      <c r="B930" t="str">
        <f>T("   Emirats Arabes Unis")</f>
        <v xml:space="preserve">   Emirats Arabes Unis</v>
      </c>
      <c r="C930">
        <v>40656000</v>
      </c>
      <c r="D930">
        <v>848120</v>
      </c>
    </row>
    <row r="931" spans="1:4" x14ac:dyDescent="0.25">
      <c r="A931" t="str">
        <f>T("   CN")</f>
        <v xml:space="preserve">   CN</v>
      </c>
      <c r="B931" t="str">
        <f>T("   Chine")</f>
        <v xml:space="preserve">   Chine</v>
      </c>
      <c r="C931">
        <v>241000000</v>
      </c>
      <c r="D931">
        <v>6295000</v>
      </c>
    </row>
    <row r="932" spans="1:4" x14ac:dyDescent="0.25">
      <c r="A932" t="str">
        <f>T("   FR")</f>
        <v xml:space="preserve">   FR</v>
      </c>
      <c r="B932" t="str">
        <f>T("   France")</f>
        <v xml:space="preserve">   France</v>
      </c>
      <c r="C932">
        <v>1700000</v>
      </c>
      <c r="D932">
        <v>17480</v>
      </c>
    </row>
    <row r="933" spans="1:4" x14ac:dyDescent="0.25">
      <c r="A933" t="str">
        <f>T("   ID")</f>
        <v xml:space="preserve">   ID</v>
      </c>
      <c r="B933" t="str">
        <f>T("   Indonésie")</f>
        <v xml:space="preserve">   Indonésie</v>
      </c>
      <c r="C933">
        <v>12000000</v>
      </c>
      <c r="D933">
        <v>475000</v>
      </c>
    </row>
    <row r="934" spans="1:4" x14ac:dyDescent="0.25">
      <c r="A934" t="str">
        <f>T("   IN")</f>
        <v xml:space="preserve">   IN</v>
      </c>
      <c r="B934" t="str">
        <f>T("   Inde")</f>
        <v xml:space="preserve">   Inde</v>
      </c>
      <c r="C934">
        <v>325511000</v>
      </c>
      <c r="D934">
        <v>11140220</v>
      </c>
    </row>
    <row r="935" spans="1:4" x14ac:dyDescent="0.25">
      <c r="A935" t="str">
        <f>T("   IT")</f>
        <v xml:space="preserve">   IT</v>
      </c>
      <c r="B935" t="str">
        <f>T("   Italie")</f>
        <v xml:space="preserve">   Italie</v>
      </c>
      <c r="C935">
        <v>6000000</v>
      </c>
      <c r="D935">
        <v>140000</v>
      </c>
    </row>
    <row r="936" spans="1:4" x14ac:dyDescent="0.25">
      <c r="A936" t="str">
        <f>T("   KR")</f>
        <v xml:space="preserve">   KR</v>
      </c>
      <c r="B936" t="str">
        <f>T("   Corée, République de")</f>
        <v xml:space="preserve">   Corée, République de</v>
      </c>
      <c r="C936">
        <v>13000000</v>
      </c>
      <c r="D936">
        <v>360000</v>
      </c>
    </row>
    <row r="937" spans="1:4" x14ac:dyDescent="0.25">
      <c r="A937" t="str">
        <f>T("   MY")</f>
        <v xml:space="preserve">   MY</v>
      </c>
      <c r="B937" t="str">
        <f>T("   Malaisie")</f>
        <v xml:space="preserve">   Malaisie</v>
      </c>
      <c r="C937">
        <v>3000000</v>
      </c>
      <c r="D937">
        <v>60000</v>
      </c>
    </row>
    <row r="938" spans="1:4" x14ac:dyDescent="0.25">
      <c r="A938" t="str">
        <f>T("   PH")</f>
        <v xml:space="preserve">   PH</v>
      </c>
      <c r="B938" t="str">
        <f>T("   Philippines")</f>
        <v xml:space="preserve">   Philippines</v>
      </c>
      <c r="C938">
        <v>500000</v>
      </c>
      <c r="D938">
        <v>10000</v>
      </c>
    </row>
    <row r="939" spans="1:4" x14ac:dyDescent="0.25">
      <c r="A939" t="str">
        <f>T("   PK")</f>
        <v xml:space="preserve">   PK</v>
      </c>
      <c r="B939" t="str">
        <f>T("   Pakistan")</f>
        <v xml:space="preserve">   Pakistan</v>
      </c>
      <c r="C939">
        <v>8500000</v>
      </c>
      <c r="D939">
        <v>170000</v>
      </c>
    </row>
    <row r="940" spans="1:4" x14ac:dyDescent="0.25">
      <c r="A940" t="str">
        <f>T("   SY")</f>
        <v xml:space="preserve">   SY</v>
      </c>
      <c r="B940" t="str">
        <f>T("   Syrienne, République arabe")</f>
        <v xml:space="preserve">   Syrienne, République arabe</v>
      </c>
      <c r="C940">
        <v>750000</v>
      </c>
      <c r="D940">
        <v>15000</v>
      </c>
    </row>
    <row r="941" spans="1:4" x14ac:dyDescent="0.25">
      <c r="A941" t="str">
        <f>T("   TH")</f>
        <v xml:space="preserve">   TH</v>
      </c>
      <c r="B941" t="str">
        <f>T("   Thaïlande")</f>
        <v xml:space="preserve">   Thaïlande</v>
      </c>
      <c r="C941">
        <v>52918000</v>
      </c>
      <c r="D941">
        <v>1058360</v>
      </c>
    </row>
    <row r="942" spans="1:4" x14ac:dyDescent="0.25">
      <c r="A942" t="str">
        <f>T("   VN")</f>
        <v xml:space="preserve">   VN</v>
      </c>
      <c r="B942" t="str">
        <f>T("   Vietnam")</f>
        <v xml:space="preserve">   Vietnam</v>
      </c>
      <c r="C942">
        <v>139099000</v>
      </c>
      <c r="D942">
        <v>4846980</v>
      </c>
    </row>
    <row r="943" spans="1:4" x14ac:dyDescent="0.25">
      <c r="A943" t="str">
        <f>T("720529")</f>
        <v>720529</v>
      </c>
      <c r="B943" t="str">
        <f>T("Poudres de fonte brute, de fonte spiegel, de fer ou d'aciers non alliés (autres que les poudres de ferro-alliages et les isotopes radioactifs de poudre de fer)")</f>
        <v>Poudres de fonte brute, de fonte spiegel, de fer ou d'aciers non alliés (autres que les poudres de ferro-alliages et les isotopes radioactifs de poudre de fer)</v>
      </c>
    </row>
    <row r="944" spans="1:4" x14ac:dyDescent="0.25">
      <c r="A944" t="str">
        <f>T("   ZZZ_Monde")</f>
        <v xml:space="preserve">   ZZZ_Monde</v>
      </c>
      <c r="B944" t="str">
        <f>T("   ZZZ_Monde")</f>
        <v xml:space="preserve">   ZZZ_Monde</v>
      </c>
      <c r="C944">
        <v>3500000</v>
      </c>
      <c r="D944">
        <v>320000</v>
      </c>
    </row>
    <row r="945" spans="1:4" x14ac:dyDescent="0.25">
      <c r="A945" t="str">
        <f>T("   VN")</f>
        <v xml:space="preserve">   VN</v>
      </c>
      <c r="B945" t="str">
        <f>T("   Vietnam")</f>
        <v xml:space="preserve">   Vietnam</v>
      </c>
      <c r="C945">
        <v>3500000</v>
      </c>
      <c r="D945">
        <v>320000</v>
      </c>
    </row>
    <row r="946" spans="1:4" x14ac:dyDescent="0.25">
      <c r="A946" t="str">
        <f>T("720839")</f>
        <v>720839</v>
      </c>
      <c r="B946"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947" spans="1:4" x14ac:dyDescent="0.25">
      <c r="A947" t="str">
        <f>T("   ZZZ_Monde")</f>
        <v xml:space="preserve">   ZZZ_Monde</v>
      </c>
      <c r="B947" t="str">
        <f>T("   ZZZ_Monde")</f>
        <v xml:space="preserve">   ZZZ_Monde</v>
      </c>
      <c r="C947">
        <v>397745051</v>
      </c>
      <c r="D947">
        <v>1033981</v>
      </c>
    </row>
    <row r="948" spans="1:4" x14ac:dyDescent="0.25">
      <c r="A948" t="str">
        <f>T("   BF")</f>
        <v xml:space="preserve">   BF</v>
      </c>
      <c r="B948" t="str">
        <f>T("   Burkina Faso")</f>
        <v xml:space="preserve">   Burkina Faso</v>
      </c>
      <c r="C948">
        <v>3303724</v>
      </c>
      <c r="D948">
        <v>7971</v>
      </c>
    </row>
    <row r="949" spans="1:4" x14ac:dyDescent="0.25">
      <c r="A949" t="str">
        <f>T("   TD")</f>
        <v xml:space="preserve">   TD</v>
      </c>
      <c r="B949" t="str">
        <f>T("   Tchad")</f>
        <v xml:space="preserve">   Tchad</v>
      </c>
      <c r="C949">
        <v>394441327</v>
      </c>
      <c r="D949">
        <v>1026010</v>
      </c>
    </row>
    <row r="950" spans="1:4" x14ac:dyDescent="0.25">
      <c r="A950" t="str">
        <f>T("720890")</f>
        <v>720890</v>
      </c>
      <c r="B950"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951" spans="1:4" x14ac:dyDescent="0.25">
      <c r="A951" t="str">
        <f>T("   ZZZ_Monde")</f>
        <v xml:space="preserve">   ZZZ_Monde</v>
      </c>
      <c r="B951" t="str">
        <f>T("   ZZZ_Monde")</f>
        <v xml:space="preserve">   ZZZ_Monde</v>
      </c>
      <c r="C951">
        <v>55516757</v>
      </c>
      <c r="D951">
        <v>95000</v>
      </c>
    </row>
    <row r="952" spans="1:4" x14ac:dyDescent="0.25">
      <c r="A952" t="str">
        <f>T("   TD")</f>
        <v xml:space="preserve">   TD</v>
      </c>
      <c r="B952" t="str">
        <f>T("   Tchad")</f>
        <v xml:space="preserve">   Tchad</v>
      </c>
      <c r="C952">
        <v>55516757</v>
      </c>
      <c r="D952">
        <v>95000</v>
      </c>
    </row>
    <row r="953" spans="1:4" x14ac:dyDescent="0.25">
      <c r="A953" t="str">
        <f>T("720916")</f>
        <v>720916</v>
      </c>
      <c r="B953" t="str">
        <f>T("PRODUITS LAMINÉS PLATS, EN FER OU EN ACIERS NON-ALLIÉS, D'UNE LARGEUR &gt;= 600 MM, NON-PLAQUÉS NI REVÊTUS, ENROULÉS, SIMPL. LAMINÉS À FROID, D'UNE ÉPAISSEUR &gt; 1 MM MAIS &lt; 3 MM")</f>
        <v>PRODUITS LAMINÉS PLATS, EN FER OU EN ACIERS NON-ALLIÉS, D'UNE LARGEUR &gt;= 600 MM, NON-PLAQUÉS NI REVÊTUS, ENROULÉS, SIMPL. LAMINÉS À FROID, D'UNE ÉPAISSEUR &gt; 1 MM MAIS &lt; 3 MM</v>
      </c>
    </row>
    <row r="954" spans="1:4" x14ac:dyDescent="0.25">
      <c r="A954" t="str">
        <f>T("   ZZZ_Monde")</f>
        <v xml:space="preserve">   ZZZ_Monde</v>
      </c>
      <c r="B954" t="str">
        <f>T("   ZZZ_Monde")</f>
        <v xml:space="preserve">   ZZZ_Monde</v>
      </c>
      <c r="C954">
        <v>76661821</v>
      </c>
      <c r="D954">
        <v>161909</v>
      </c>
    </row>
    <row r="955" spans="1:4" x14ac:dyDescent="0.25">
      <c r="A955" t="str">
        <f>T("   BF")</f>
        <v xml:space="preserve">   BF</v>
      </c>
      <c r="B955" t="str">
        <f>T("   Burkina Faso")</f>
        <v xml:space="preserve">   Burkina Faso</v>
      </c>
      <c r="C955">
        <v>30743700</v>
      </c>
      <c r="D955">
        <v>67959</v>
      </c>
    </row>
    <row r="956" spans="1:4" x14ac:dyDescent="0.25">
      <c r="A956" t="str">
        <f>T("   TD")</f>
        <v xml:space="preserve">   TD</v>
      </c>
      <c r="B956" t="str">
        <f>T("   Tchad")</f>
        <v xml:space="preserve">   Tchad</v>
      </c>
      <c r="C956">
        <v>45918121</v>
      </c>
      <c r="D956">
        <v>93950</v>
      </c>
    </row>
    <row r="957" spans="1:4" x14ac:dyDescent="0.25">
      <c r="A957" t="str">
        <f>T("720917")</f>
        <v>720917</v>
      </c>
      <c r="B957"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958" spans="1:4" x14ac:dyDescent="0.25">
      <c r="A958" t="str">
        <f>T("   ZZZ_Monde")</f>
        <v xml:space="preserve">   ZZZ_Monde</v>
      </c>
      <c r="B958" t="str">
        <f>T("   ZZZ_Monde")</f>
        <v xml:space="preserve">   ZZZ_Monde</v>
      </c>
      <c r="C958">
        <v>419390139</v>
      </c>
      <c r="D958">
        <v>936550</v>
      </c>
    </row>
    <row r="959" spans="1:4" x14ac:dyDescent="0.25">
      <c r="A959" t="str">
        <f>T("   BF")</f>
        <v xml:space="preserve">   BF</v>
      </c>
      <c r="B959" t="str">
        <f>T("   Burkina Faso")</f>
        <v xml:space="preserve">   Burkina Faso</v>
      </c>
      <c r="C959">
        <v>174251003</v>
      </c>
      <c r="D959">
        <v>396538</v>
      </c>
    </row>
    <row r="960" spans="1:4" x14ac:dyDescent="0.25">
      <c r="A960" t="str">
        <f>T("   TD")</f>
        <v xml:space="preserve">   TD</v>
      </c>
      <c r="B960" t="str">
        <f>T("   Tchad")</f>
        <v xml:space="preserve">   Tchad</v>
      </c>
      <c r="C960">
        <v>245139136</v>
      </c>
      <c r="D960">
        <v>540012</v>
      </c>
    </row>
    <row r="961" spans="1:4" x14ac:dyDescent="0.25">
      <c r="A961" t="str">
        <f>T("720918")</f>
        <v>720918</v>
      </c>
      <c r="B961" t="str">
        <f>T("PRODUITS LAMINÉS PLATS, EN FER OU EN ACIERS NON-ALLIÉS, D'UNE LARGEUR &gt;= 600 MM, NON-PLAQUÉS NI REVÊTUS, ENROULÉS, SIMPL. LAMINÉS À FROID, D'UNE ÉPAISSEUR &lt; 0,5 MM")</f>
        <v>PRODUITS LAMINÉS PLATS, EN FER OU EN ACIERS NON-ALLIÉS, D'UNE LARGEUR &gt;= 600 MM, NON-PLAQUÉS NI REVÊTUS, ENROULÉS, SIMPL. LAMINÉS À FROID, D'UNE ÉPAISSEUR &lt; 0,5 MM</v>
      </c>
    </row>
    <row r="962" spans="1:4" x14ac:dyDescent="0.25">
      <c r="A962" t="str">
        <f>T("   ZZZ_Monde")</f>
        <v xml:space="preserve">   ZZZ_Monde</v>
      </c>
      <c r="B962" t="str">
        <f>T("   ZZZ_Monde")</f>
        <v xml:space="preserve">   ZZZ_Monde</v>
      </c>
      <c r="C962">
        <v>112395572</v>
      </c>
      <c r="D962">
        <v>197288</v>
      </c>
    </row>
    <row r="963" spans="1:4" x14ac:dyDescent="0.25">
      <c r="A963" t="str">
        <f>T("   BF")</f>
        <v xml:space="preserve">   BF</v>
      </c>
      <c r="B963" t="str">
        <f>T("   Burkina Faso")</f>
        <v xml:space="preserve">   Burkina Faso</v>
      </c>
      <c r="C963">
        <v>43075572</v>
      </c>
      <c r="D963">
        <v>76908</v>
      </c>
    </row>
    <row r="964" spans="1:4" x14ac:dyDescent="0.25">
      <c r="A964" t="str">
        <f>T("   TD")</f>
        <v xml:space="preserve">   TD</v>
      </c>
      <c r="B964" t="str">
        <f>T("   Tchad")</f>
        <v xml:space="preserve">   Tchad</v>
      </c>
      <c r="C964">
        <v>44000000</v>
      </c>
      <c r="D964">
        <v>80000</v>
      </c>
    </row>
    <row r="965" spans="1:4" x14ac:dyDescent="0.25">
      <c r="A965" t="str">
        <f>T("   TG")</f>
        <v xml:space="preserve">   TG</v>
      </c>
      <c r="B965" t="str">
        <f>T("   Togo")</f>
        <v xml:space="preserve">   Togo</v>
      </c>
      <c r="C965">
        <v>25320000</v>
      </c>
      <c r="D965">
        <v>40380</v>
      </c>
    </row>
    <row r="966" spans="1:4" x14ac:dyDescent="0.25">
      <c r="A966" t="str">
        <f>T("720925")</f>
        <v>720925</v>
      </c>
      <c r="B966" t="str">
        <f>T("PRODUITS LAMINÉS PLATS, EN FER OU EN ACIERS NON ALLIÉS, D'UNE LARGEUR &gt;= 600 MM, NON ENROULÉS, SIMPLEMENT LAMINÉS À FROID, NON PLAQUÉS NI REVÊTUS, ÉPAISSEUR &gt;= 3 MM")</f>
        <v>PRODUITS LAMINÉS PLATS, EN FER OU EN ACIERS NON ALLIÉS, D'UNE LARGEUR &gt;= 600 MM, NON ENROULÉS, SIMPLEMENT LAMINÉS À FROID, NON PLAQUÉS NI REVÊTUS, ÉPAISSEUR &gt;= 3 MM</v>
      </c>
    </row>
    <row r="967" spans="1:4" x14ac:dyDescent="0.25">
      <c r="A967" t="str">
        <f>T("   ZZZ_Monde")</f>
        <v xml:space="preserve">   ZZZ_Monde</v>
      </c>
      <c r="B967" t="str">
        <f>T("   ZZZ_Monde")</f>
        <v xml:space="preserve">   ZZZ_Monde</v>
      </c>
      <c r="C967">
        <v>38493872</v>
      </c>
      <c r="D967">
        <v>70000</v>
      </c>
    </row>
    <row r="968" spans="1:4" x14ac:dyDescent="0.25">
      <c r="A968" t="str">
        <f>T("   TD")</f>
        <v xml:space="preserve">   TD</v>
      </c>
      <c r="B968" t="str">
        <f>T("   Tchad")</f>
        <v xml:space="preserve">   Tchad</v>
      </c>
      <c r="C968">
        <v>38493872</v>
      </c>
      <c r="D968">
        <v>70000</v>
      </c>
    </row>
    <row r="969" spans="1:4" x14ac:dyDescent="0.25">
      <c r="A969" t="str">
        <f>T("720927")</f>
        <v>720927</v>
      </c>
      <c r="B969" t="str">
        <f>T("PRODUITS LAMINÉS PLATS, EN FER OU EN ACIERS NON-ALLIÉS, D'UNE LARGEUR &gt;= 600 MM, NON-PLAQUÉS NI REVÊTUS, NON-ENROULÉS, SIMPL. LAMINÉS À FROID, D'UNE ÉPAISSEUR &gt;= 0,5 MM MAIS &lt;= 1 MM")</f>
        <v>PRODUITS LAMINÉS PLATS, EN FER OU EN ACIERS NON-ALLIÉS, D'UNE LARGEUR &gt;= 600 MM, NON-PLAQUÉS NI REVÊTUS, NON-ENROULÉS, SIMPL. LAMINÉS À FROID, D'UNE ÉPAISSEUR &gt;= 0,5 MM MAIS &lt;= 1 MM</v>
      </c>
    </row>
    <row r="970" spans="1:4" x14ac:dyDescent="0.25">
      <c r="A970" t="str">
        <f>T("   ZZZ_Monde")</f>
        <v xml:space="preserve">   ZZZ_Monde</v>
      </c>
      <c r="B970" t="str">
        <f>T("   ZZZ_Monde")</f>
        <v xml:space="preserve">   ZZZ_Monde</v>
      </c>
      <c r="C970">
        <v>30927570</v>
      </c>
      <c r="D970">
        <v>55000</v>
      </c>
    </row>
    <row r="971" spans="1:4" x14ac:dyDescent="0.25">
      <c r="A971" t="str">
        <f>T("   TD")</f>
        <v xml:space="preserve">   TD</v>
      </c>
      <c r="B971" t="str">
        <f>T("   Tchad")</f>
        <v xml:space="preserve">   Tchad</v>
      </c>
      <c r="C971">
        <v>30927570</v>
      </c>
      <c r="D971">
        <v>55000</v>
      </c>
    </row>
    <row r="972" spans="1:4" x14ac:dyDescent="0.25">
      <c r="A972" t="str">
        <f>T("720990")</f>
        <v>720990</v>
      </c>
      <c r="B972"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973" spans="1:4" x14ac:dyDescent="0.25">
      <c r="A973" t="str">
        <f>T("   ZZZ_Monde")</f>
        <v xml:space="preserve">   ZZZ_Monde</v>
      </c>
      <c r="B973" t="str">
        <f>T("   ZZZ_Monde")</f>
        <v xml:space="preserve">   ZZZ_Monde</v>
      </c>
      <c r="C973">
        <v>345035943</v>
      </c>
      <c r="D973">
        <v>623576</v>
      </c>
    </row>
    <row r="974" spans="1:4" x14ac:dyDescent="0.25">
      <c r="A974" t="str">
        <f>T("   TD")</f>
        <v xml:space="preserve">   TD</v>
      </c>
      <c r="B974" t="str">
        <f>T("   Tchad")</f>
        <v xml:space="preserve">   Tchad</v>
      </c>
      <c r="C974">
        <v>345035943</v>
      </c>
      <c r="D974">
        <v>623576</v>
      </c>
    </row>
    <row r="975" spans="1:4" x14ac:dyDescent="0.25">
      <c r="A975" t="str">
        <f>T("721041")</f>
        <v>721041</v>
      </c>
      <c r="B975"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976" spans="1:4" x14ac:dyDescent="0.25">
      <c r="A976" t="str">
        <f>T("   ZZZ_Monde")</f>
        <v xml:space="preserve">   ZZZ_Monde</v>
      </c>
      <c r="B976" t="str">
        <f>T("   ZZZ_Monde")</f>
        <v xml:space="preserve">   ZZZ_Monde</v>
      </c>
      <c r="C976">
        <v>13920000</v>
      </c>
      <c r="D976">
        <v>30000</v>
      </c>
    </row>
    <row r="977" spans="1:4" x14ac:dyDescent="0.25">
      <c r="A977" t="str">
        <f>T("   BF")</f>
        <v xml:space="preserve">   BF</v>
      </c>
      <c r="B977" t="str">
        <f>T("   Burkina Faso")</f>
        <v xml:space="preserve">   Burkina Faso</v>
      </c>
      <c r="C977">
        <v>13920000</v>
      </c>
      <c r="D977">
        <v>30000</v>
      </c>
    </row>
    <row r="978" spans="1:4" x14ac:dyDescent="0.25">
      <c r="A978" t="str">
        <f>T("721049")</f>
        <v>721049</v>
      </c>
      <c r="B978"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979" spans="1:4" x14ac:dyDescent="0.25">
      <c r="A979" t="str">
        <f>T("   ZZZ_Monde")</f>
        <v xml:space="preserve">   ZZZ_Monde</v>
      </c>
      <c r="B979" t="str">
        <f>T("   ZZZ_Monde")</f>
        <v xml:space="preserve">   ZZZ_Monde</v>
      </c>
      <c r="C979">
        <v>26125616</v>
      </c>
      <c r="D979">
        <v>52835</v>
      </c>
    </row>
    <row r="980" spans="1:4" x14ac:dyDescent="0.25">
      <c r="A980" t="str">
        <f>T("   BF")</f>
        <v xml:space="preserve">   BF</v>
      </c>
      <c r="B980" t="str">
        <f>T("   Burkina Faso")</f>
        <v xml:space="preserve">   Burkina Faso</v>
      </c>
      <c r="C980">
        <v>26125616</v>
      </c>
      <c r="D980">
        <v>52835</v>
      </c>
    </row>
    <row r="981" spans="1:4" x14ac:dyDescent="0.25">
      <c r="A981" t="str">
        <f>T("721070")</f>
        <v>721070</v>
      </c>
      <c r="B981"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982" spans="1:4" x14ac:dyDescent="0.25">
      <c r="A982" t="str">
        <f>T("   ZZZ_Monde")</f>
        <v xml:space="preserve">   ZZZ_Monde</v>
      </c>
      <c r="B982" t="str">
        <f>T("   ZZZ_Monde")</f>
        <v xml:space="preserve">   ZZZ_Monde</v>
      </c>
      <c r="C982">
        <v>17826750</v>
      </c>
      <c r="D982">
        <v>26410</v>
      </c>
    </row>
    <row r="983" spans="1:4" x14ac:dyDescent="0.25">
      <c r="A983" t="str">
        <f>T("   BF")</f>
        <v xml:space="preserve">   BF</v>
      </c>
      <c r="B983" t="str">
        <f>T("   Burkina Faso")</f>
        <v xml:space="preserve">   Burkina Faso</v>
      </c>
      <c r="C983">
        <v>17826750</v>
      </c>
      <c r="D983">
        <v>26410</v>
      </c>
    </row>
    <row r="984" spans="1:4" x14ac:dyDescent="0.25">
      <c r="A984" t="str">
        <f>T("721310")</f>
        <v>721310</v>
      </c>
      <c r="B984" t="str">
        <f>T("FIL MACHINE EN FER OU ACIERS NON ALLIÉS, ENROULÉS EN COURONNES IRRÉGULIÈRES, AVEC INDENTATIONS, BOURRELETS, CREUX OU RELIEFS OBTENUS LORS DU LAMINAGE")</f>
        <v>FIL MACHINE EN FER OU ACIERS NON ALLIÉS, ENROULÉS EN COURONNES IRRÉGULIÈRES, AVEC INDENTATIONS, BOURRELETS, CREUX OU RELIEFS OBTENUS LORS DU LAMINAGE</v>
      </c>
    </row>
    <row r="985" spans="1:4" x14ac:dyDescent="0.25">
      <c r="A985" t="str">
        <f>T("   ZZZ_Monde")</f>
        <v xml:space="preserve">   ZZZ_Monde</v>
      </c>
      <c r="B985" t="str">
        <f>T("   ZZZ_Monde")</f>
        <v xml:space="preserve">   ZZZ_Monde</v>
      </c>
      <c r="C985">
        <v>127677875</v>
      </c>
      <c r="D985">
        <v>325000</v>
      </c>
    </row>
    <row r="986" spans="1:4" x14ac:dyDescent="0.25">
      <c r="A986" t="str">
        <f>T("   TD")</f>
        <v xml:space="preserve">   TD</v>
      </c>
      <c r="B986" t="str">
        <f>T("   Tchad")</f>
        <v xml:space="preserve">   Tchad</v>
      </c>
      <c r="C986">
        <v>127677875</v>
      </c>
      <c r="D986">
        <v>325000</v>
      </c>
    </row>
    <row r="987" spans="1:4" x14ac:dyDescent="0.25">
      <c r="A987" t="str">
        <f>T("721391")</f>
        <v>721391</v>
      </c>
      <c r="B987"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988" spans="1:4" x14ac:dyDescent="0.25">
      <c r="A988" t="str">
        <f>T("   ZZZ_Monde")</f>
        <v xml:space="preserve">   ZZZ_Monde</v>
      </c>
      <c r="B988" t="str">
        <f>T("   ZZZ_Monde")</f>
        <v xml:space="preserve">   ZZZ_Monde</v>
      </c>
      <c r="C988">
        <v>10847466572</v>
      </c>
      <c r="D988">
        <v>27949829</v>
      </c>
    </row>
    <row r="989" spans="1:4" x14ac:dyDescent="0.25">
      <c r="A989" t="str">
        <f>T("   CN")</f>
        <v xml:space="preserve">   CN</v>
      </c>
      <c r="B989" t="str">
        <f>T("   Chine")</f>
        <v xml:space="preserve">   Chine</v>
      </c>
      <c r="C989">
        <v>115262950</v>
      </c>
      <c r="D989">
        <v>176815</v>
      </c>
    </row>
    <row r="990" spans="1:4" x14ac:dyDescent="0.25">
      <c r="A990" t="str">
        <f>T("   NE")</f>
        <v xml:space="preserve">   NE</v>
      </c>
      <c r="B990" t="str">
        <f>T("   Niger")</f>
        <v xml:space="preserve">   Niger</v>
      </c>
      <c r="C990">
        <v>118677431</v>
      </c>
      <c r="D990">
        <v>308000</v>
      </c>
    </row>
    <row r="991" spans="1:4" x14ac:dyDescent="0.25">
      <c r="A991" t="str">
        <f>T("   TD")</f>
        <v xml:space="preserve">   TD</v>
      </c>
      <c r="B991" t="str">
        <f>T("   Tchad")</f>
        <v xml:space="preserve">   Tchad</v>
      </c>
      <c r="C991">
        <v>10613526191</v>
      </c>
      <c r="D991">
        <v>27465014</v>
      </c>
    </row>
    <row r="992" spans="1:4" x14ac:dyDescent="0.25">
      <c r="A992" t="str">
        <f>T("721399")</f>
        <v>721399</v>
      </c>
      <c r="B992"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993" spans="1:4" x14ac:dyDescent="0.25">
      <c r="A993" t="str">
        <f>T("   ZZZ_Monde")</f>
        <v xml:space="preserve">   ZZZ_Monde</v>
      </c>
      <c r="B993" t="str">
        <f>T("   ZZZ_Monde")</f>
        <v xml:space="preserve">   ZZZ_Monde</v>
      </c>
      <c r="C993">
        <v>5431024666</v>
      </c>
      <c r="D993">
        <v>13984000</v>
      </c>
    </row>
    <row r="994" spans="1:4" x14ac:dyDescent="0.25">
      <c r="A994" t="str">
        <f>T("   NE")</f>
        <v xml:space="preserve">   NE</v>
      </c>
      <c r="B994" t="str">
        <f>T("   Niger")</f>
        <v xml:space="preserve">   Niger</v>
      </c>
      <c r="C994">
        <v>141000000</v>
      </c>
      <c r="D994">
        <v>475000</v>
      </c>
    </row>
    <row r="995" spans="1:4" x14ac:dyDescent="0.25">
      <c r="A995" t="str">
        <f>T("   TD")</f>
        <v xml:space="preserve">   TD</v>
      </c>
      <c r="B995" t="str">
        <f>T("   Tchad")</f>
        <v xml:space="preserve">   Tchad</v>
      </c>
      <c r="C995">
        <v>5290024666</v>
      </c>
      <c r="D995">
        <v>13509000</v>
      </c>
    </row>
    <row r="996" spans="1:4" x14ac:dyDescent="0.25">
      <c r="A996" t="str">
        <f>T("721420")</f>
        <v>721420</v>
      </c>
      <c r="B996"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997" spans="1:4" x14ac:dyDescent="0.25">
      <c r="A997" t="str">
        <f>T("   ZZZ_Monde")</f>
        <v xml:space="preserve">   ZZZ_Monde</v>
      </c>
      <c r="B997" t="str">
        <f>T("   ZZZ_Monde")</f>
        <v xml:space="preserve">   ZZZ_Monde</v>
      </c>
      <c r="C997">
        <v>690819077</v>
      </c>
      <c r="D997">
        <v>1736860</v>
      </c>
    </row>
    <row r="998" spans="1:4" x14ac:dyDescent="0.25">
      <c r="A998" t="str">
        <f>T("   CH")</f>
        <v xml:space="preserve">   CH</v>
      </c>
      <c r="B998" t="str">
        <f>T("   Suisse")</f>
        <v xml:space="preserve">   Suisse</v>
      </c>
      <c r="C998">
        <v>37974811</v>
      </c>
      <c r="D998">
        <v>53504</v>
      </c>
    </row>
    <row r="999" spans="1:4" x14ac:dyDescent="0.25">
      <c r="A999" t="str">
        <f>T("   GB")</f>
        <v xml:space="preserve">   GB</v>
      </c>
      <c r="B999" t="str">
        <f>T("   Royaume-Uni")</f>
        <v xml:space="preserve">   Royaume-Uni</v>
      </c>
      <c r="C999">
        <v>3261078</v>
      </c>
      <c r="D999">
        <v>4601</v>
      </c>
    </row>
    <row r="1000" spans="1:4" x14ac:dyDescent="0.25">
      <c r="A1000" t="str">
        <f>T("   NE")</f>
        <v xml:space="preserve">   NE</v>
      </c>
      <c r="B1000" t="str">
        <f>T("   Niger")</f>
        <v xml:space="preserve">   Niger</v>
      </c>
      <c r="C1000">
        <v>135750166</v>
      </c>
      <c r="D1000">
        <v>370000</v>
      </c>
    </row>
    <row r="1001" spans="1:4" x14ac:dyDescent="0.25">
      <c r="A1001" t="str">
        <f>T("   NL")</f>
        <v xml:space="preserve">   NL</v>
      </c>
      <c r="B1001" t="str">
        <f>T("   Pays-bas")</f>
        <v xml:space="preserve">   Pays-bas</v>
      </c>
      <c r="C1001">
        <v>4305405</v>
      </c>
      <c r="D1001">
        <v>6075</v>
      </c>
    </row>
    <row r="1002" spans="1:4" x14ac:dyDescent="0.25">
      <c r="A1002" t="str">
        <f>T("   SG")</f>
        <v xml:space="preserve">   SG</v>
      </c>
      <c r="B1002" t="str">
        <f>T("   Singapour")</f>
        <v xml:space="preserve">   Singapour</v>
      </c>
      <c r="C1002">
        <v>3317444</v>
      </c>
      <c r="D1002">
        <v>4680</v>
      </c>
    </row>
    <row r="1003" spans="1:4" x14ac:dyDescent="0.25">
      <c r="A1003" t="str">
        <f>T("   TD")</f>
        <v xml:space="preserve">   TD</v>
      </c>
      <c r="B1003" t="str">
        <f>T("   Tchad")</f>
        <v xml:space="preserve">   Tchad</v>
      </c>
      <c r="C1003">
        <v>506210173</v>
      </c>
      <c r="D1003">
        <v>1298000</v>
      </c>
    </row>
    <row r="1004" spans="1:4" x14ac:dyDescent="0.25">
      <c r="A1004" t="str">
        <f>T("721499")</f>
        <v>721499</v>
      </c>
      <c r="B1004"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1005" spans="1:4" x14ac:dyDescent="0.25">
      <c r="A1005" t="str">
        <f>T("   ZZZ_Monde")</f>
        <v xml:space="preserve">   ZZZ_Monde</v>
      </c>
      <c r="B1005" t="str">
        <f>T("   ZZZ_Monde")</f>
        <v xml:space="preserve">   ZZZ_Monde</v>
      </c>
      <c r="C1005">
        <v>2401536</v>
      </c>
      <c r="D1005">
        <v>3960</v>
      </c>
    </row>
    <row r="1006" spans="1:4" x14ac:dyDescent="0.25">
      <c r="A1006" t="str">
        <f>T("   GH")</f>
        <v xml:space="preserve">   GH</v>
      </c>
      <c r="B1006" t="str">
        <f>T("   Ghana")</f>
        <v xml:space="preserve">   Ghana</v>
      </c>
      <c r="C1006">
        <v>2401536</v>
      </c>
      <c r="D1006">
        <v>3960</v>
      </c>
    </row>
    <row r="1007" spans="1:4" x14ac:dyDescent="0.25">
      <c r="A1007" t="str">
        <f>T("721590")</f>
        <v>721590</v>
      </c>
      <c r="B1007"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1008" spans="1:4" x14ac:dyDescent="0.25">
      <c r="A1008" t="str">
        <f>T("   ZZZ_Monde")</f>
        <v xml:space="preserve">   ZZZ_Monde</v>
      </c>
      <c r="B1008" t="str">
        <f>T("   ZZZ_Monde")</f>
        <v xml:space="preserve">   ZZZ_Monde</v>
      </c>
      <c r="C1008">
        <v>9434919526</v>
      </c>
      <c r="D1008">
        <v>21297987</v>
      </c>
    </row>
    <row r="1009" spans="1:4" x14ac:dyDescent="0.25">
      <c r="A1009" t="str">
        <f>T("   NE")</f>
        <v xml:space="preserve">   NE</v>
      </c>
      <c r="B1009" t="str">
        <f>T("   Niger")</f>
        <v xml:space="preserve">   Niger</v>
      </c>
      <c r="C1009">
        <v>1444472457</v>
      </c>
      <c r="D1009">
        <v>4888977</v>
      </c>
    </row>
    <row r="1010" spans="1:4" x14ac:dyDescent="0.25">
      <c r="A1010" t="str">
        <f>T("   NG")</f>
        <v xml:space="preserve">   NG</v>
      </c>
      <c r="B1010" t="str">
        <f>T("   Nigéria")</f>
        <v xml:space="preserve">   Nigéria</v>
      </c>
      <c r="C1010">
        <v>81000054</v>
      </c>
      <c r="D1010">
        <v>180000</v>
      </c>
    </row>
    <row r="1011" spans="1:4" x14ac:dyDescent="0.25">
      <c r="A1011" t="str">
        <f>T("   TD")</f>
        <v xml:space="preserve">   TD</v>
      </c>
      <c r="B1011" t="str">
        <f>T("   Tchad")</f>
        <v xml:space="preserve">   Tchad</v>
      </c>
      <c r="C1011">
        <v>7909447015</v>
      </c>
      <c r="D1011">
        <v>16229010</v>
      </c>
    </row>
    <row r="1012" spans="1:4" x14ac:dyDescent="0.25">
      <c r="A1012" t="str">
        <f>T("721610")</f>
        <v>721610</v>
      </c>
      <c r="B1012" t="str">
        <f>T("PROFILÉS U, I OU H EN FER OU EN ACIERS NON ALLIÉS, SIMPLEMENT LAMINÉS OU FILÉS À CHAUD, HAUTEUR &lt; 80 MM")</f>
        <v>PROFILÉS U, I OU H EN FER OU EN ACIERS NON ALLIÉS, SIMPLEMENT LAMINÉS OU FILÉS À CHAUD, HAUTEUR &lt; 80 MM</v>
      </c>
    </row>
    <row r="1013" spans="1:4" x14ac:dyDescent="0.25">
      <c r="A1013" t="str">
        <f>T("   ZZZ_Monde")</f>
        <v xml:space="preserve">   ZZZ_Monde</v>
      </c>
      <c r="B1013" t="str">
        <f>T("   ZZZ_Monde")</f>
        <v xml:space="preserve">   ZZZ_Monde</v>
      </c>
      <c r="C1013">
        <v>241451356</v>
      </c>
      <c r="D1013">
        <v>423000</v>
      </c>
    </row>
    <row r="1014" spans="1:4" x14ac:dyDescent="0.25">
      <c r="A1014" t="str">
        <f>T("   GA")</f>
        <v xml:space="preserve">   GA</v>
      </c>
      <c r="B1014" t="str">
        <f>T("   Gabon")</f>
        <v xml:space="preserve">   Gabon</v>
      </c>
      <c r="C1014">
        <v>13081082</v>
      </c>
      <c r="D1014">
        <v>21000</v>
      </c>
    </row>
    <row r="1015" spans="1:4" x14ac:dyDescent="0.25">
      <c r="A1015" t="str">
        <f>T("   TD")</f>
        <v xml:space="preserve">   TD</v>
      </c>
      <c r="B1015" t="str">
        <f>T("   Tchad")</f>
        <v xml:space="preserve">   Tchad</v>
      </c>
      <c r="C1015">
        <v>228370274</v>
      </c>
      <c r="D1015">
        <v>402000</v>
      </c>
    </row>
    <row r="1016" spans="1:4" x14ac:dyDescent="0.25">
      <c r="A1016" t="str">
        <f>T("721622")</f>
        <v>721622</v>
      </c>
      <c r="B1016" t="str">
        <f>T("PROFILÉS EN T EN FER OU ACIERS NON ALLIÉS, SIMPLEMENT LAMINÉS OU FILÉS À CHAUD, HAUTEUR &lt; 80 MM")</f>
        <v>PROFILÉS EN T EN FER OU ACIERS NON ALLIÉS, SIMPLEMENT LAMINÉS OU FILÉS À CHAUD, HAUTEUR &lt; 80 MM</v>
      </c>
    </row>
    <row r="1017" spans="1:4" x14ac:dyDescent="0.25">
      <c r="A1017" t="str">
        <f>T("   ZZZ_Monde")</f>
        <v xml:space="preserve">   ZZZ_Monde</v>
      </c>
      <c r="B1017" t="str">
        <f>T("   ZZZ_Monde")</f>
        <v xml:space="preserve">   ZZZ_Monde</v>
      </c>
      <c r="C1017">
        <v>12420000</v>
      </c>
      <c r="D1017">
        <v>23000</v>
      </c>
    </row>
    <row r="1018" spans="1:4" x14ac:dyDescent="0.25">
      <c r="A1018" t="str">
        <f>T("   TD")</f>
        <v xml:space="preserve">   TD</v>
      </c>
      <c r="B1018" t="str">
        <f>T("   Tchad")</f>
        <v xml:space="preserve">   Tchad</v>
      </c>
      <c r="C1018">
        <v>12420000</v>
      </c>
      <c r="D1018">
        <v>23000</v>
      </c>
    </row>
    <row r="1019" spans="1:4" x14ac:dyDescent="0.25">
      <c r="A1019" t="str">
        <f>T("721631")</f>
        <v>721631</v>
      </c>
      <c r="B1019" t="str">
        <f>T("PROFILÉS EN U, EN FER OU EN ACIERS NON-ALLIÉS, SIMPL. LAMINÉS OU FILÉS À CHAUD, D'UNE HAUTEUR &gt;= 80 MM")</f>
        <v>PROFILÉS EN U, EN FER OU EN ACIERS NON-ALLIÉS, SIMPL. LAMINÉS OU FILÉS À CHAUD, D'UNE HAUTEUR &gt;= 80 MM</v>
      </c>
    </row>
    <row r="1020" spans="1:4" x14ac:dyDescent="0.25">
      <c r="A1020" t="str">
        <f>T("   ZZZ_Monde")</f>
        <v xml:space="preserve">   ZZZ_Monde</v>
      </c>
      <c r="B1020" t="str">
        <f>T("   ZZZ_Monde")</f>
        <v xml:space="preserve">   ZZZ_Monde</v>
      </c>
      <c r="C1020">
        <v>133791911</v>
      </c>
      <c r="D1020">
        <v>247000</v>
      </c>
    </row>
    <row r="1021" spans="1:4" x14ac:dyDescent="0.25">
      <c r="A1021" t="str">
        <f>T("   TD")</f>
        <v xml:space="preserve">   TD</v>
      </c>
      <c r="B1021" t="str">
        <f>T("   Tchad")</f>
        <v xml:space="preserve">   Tchad</v>
      </c>
      <c r="C1021">
        <v>133791911</v>
      </c>
      <c r="D1021">
        <v>247000</v>
      </c>
    </row>
    <row r="1022" spans="1:4" x14ac:dyDescent="0.25">
      <c r="A1022" t="str">
        <f>T("721633")</f>
        <v>721633</v>
      </c>
      <c r="B1022" t="str">
        <f>T("PROFILÉS EN H, EN FER OU EN ACIERS NON-ALLIÉS, SIMPL. LAMINÉS OU FILÉS À CHAUD, D'UNE HAUTEUR &gt;= 80 MM")</f>
        <v>PROFILÉS EN H, EN FER OU EN ACIERS NON-ALLIÉS, SIMPL. LAMINÉS OU FILÉS À CHAUD, D'UNE HAUTEUR &gt;= 80 MM</v>
      </c>
    </row>
    <row r="1023" spans="1:4" x14ac:dyDescent="0.25">
      <c r="A1023" t="str">
        <f>T("   ZZZ_Monde")</f>
        <v xml:space="preserve">   ZZZ_Monde</v>
      </c>
      <c r="B1023" t="str">
        <f>T("   ZZZ_Monde")</f>
        <v xml:space="preserve">   ZZZ_Monde</v>
      </c>
      <c r="C1023">
        <v>240126422</v>
      </c>
      <c r="D1023">
        <v>447486</v>
      </c>
    </row>
    <row r="1024" spans="1:4" x14ac:dyDescent="0.25">
      <c r="A1024" t="str">
        <f>T("   TD")</f>
        <v xml:space="preserve">   TD</v>
      </c>
      <c r="B1024" t="str">
        <f>T("   Tchad")</f>
        <v xml:space="preserve">   Tchad</v>
      </c>
      <c r="C1024">
        <v>240126422</v>
      </c>
      <c r="D1024">
        <v>447486</v>
      </c>
    </row>
    <row r="1025" spans="1:4" x14ac:dyDescent="0.25">
      <c r="A1025" t="str">
        <f>T("721640")</f>
        <v>721640</v>
      </c>
      <c r="B1025" t="str">
        <f>T("PROFILÉS EN L OU EN T, EN FER OU EN ACIERS NON-ALLIÉS, SIMPL. LAMINÉS OU FILÉS À CHAUD, D'UNE HAUTEUR &gt;= 80 MM")</f>
        <v>PROFILÉS EN L OU EN T, EN FER OU EN ACIERS NON-ALLIÉS, SIMPL. LAMINÉS OU FILÉS À CHAUD, D'UNE HAUTEUR &gt;= 80 MM</v>
      </c>
    </row>
    <row r="1026" spans="1:4" x14ac:dyDescent="0.25">
      <c r="A1026" t="str">
        <f>T("   ZZZ_Monde")</f>
        <v xml:space="preserve">   ZZZ_Monde</v>
      </c>
      <c r="B1026" t="str">
        <f>T("   ZZZ_Monde")</f>
        <v xml:space="preserve">   ZZZ_Monde</v>
      </c>
      <c r="C1026">
        <v>8100000</v>
      </c>
      <c r="D1026">
        <v>15000</v>
      </c>
    </row>
    <row r="1027" spans="1:4" x14ac:dyDescent="0.25">
      <c r="A1027" t="str">
        <f>T("   TD")</f>
        <v xml:space="preserve">   TD</v>
      </c>
      <c r="B1027" t="str">
        <f>T("   Tchad")</f>
        <v xml:space="preserve">   Tchad</v>
      </c>
      <c r="C1027">
        <v>8100000</v>
      </c>
      <c r="D1027">
        <v>15000</v>
      </c>
    </row>
    <row r="1028" spans="1:4" x14ac:dyDescent="0.25">
      <c r="A1028" t="str">
        <f>T("721650")</f>
        <v>721650</v>
      </c>
      <c r="B1028" t="str">
        <f>T("PROFILÉS, EN FER OU EN ACIERS NON-ALLIÉS, SIMPL. LAMINÉS OU FILÉS À CHAUD (À L'EXCL. DES PROFILÉS EN U, EN I, EN H, EN L OU EN T)")</f>
        <v>PROFILÉS, EN FER OU EN ACIERS NON-ALLIÉS, SIMPL. LAMINÉS OU FILÉS À CHAUD (À L'EXCL. DES PROFILÉS EN U, EN I, EN H, EN L OU EN T)</v>
      </c>
    </row>
    <row r="1029" spans="1:4" x14ac:dyDescent="0.25">
      <c r="A1029" t="str">
        <f>T("   ZZZ_Monde")</f>
        <v xml:space="preserve">   ZZZ_Monde</v>
      </c>
      <c r="B1029" t="str">
        <f>T("   ZZZ_Monde")</f>
        <v xml:space="preserve">   ZZZ_Monde</v>
      </c>
      <c r="C1029">
        <v>80229940</v>
      </c>
      <c r="D1029">
        <v>136390</v>
      </c>
    </row>
    <row r="1030" spans="1:4" x14ac:dyDescent="0.25">
      <c r="A1030" t="str">
        <f>T("   TD")</f>
        <v xml:space="preserve">   TD</v>
      </c>
      <c r="B1030" t="str">
        <f>T("   Tchad")</f>
        <v xml:space="preserve">   Tchad</v>
      </c>
      <c r="C1030">
        <v>80229940</v>
      </c>
      <c r="D1030">
        <v>136390</v>
      </c>
    </row>
    <row r="1031" spans="1:4" x14ac:dyDescent="0.25">
      <c r="A1031" t="str">
        <f>T("721661")</f>
        <v>721661</v>
      </c>
      <c r="B1031"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1032" spans="1:4" x14ac:dyDescent="0.25">
      <c r="A1032" t="str">
        <f>T("   ZZZ_Monde")</f>
        <v xml:space="preserve">   ZZZ_Monde</v>
      </c>
      <c r="B1032" t="str">
        <f>T("   ZZZ_Monde")</f>
        <v xml:space="preserve">   ZZZ_Monde</v>
      </c>
      <c r="C1032">
        <v>35749989</v>
      </c>
      <c r="D1032">
        <v>65000</v>
      </c>
    </row>
    <row r="1033" spans="1:4" x14ac:dyDescent="0.25">
      <c r="A1033" t="str">
        <f>T("   TD")</f>
        <v xml:space="preserve">   TD</v>
      </c>
      <c r="B1033" t="str">
        <f>T("   Tchad")</f>
        <v xml:space="preserve">   Tchad</v>
      </c>
      <c r="C1033">
        <v>35749989</v>
      </c>
      <c r="D1033">
        <v>65000</v>
      </c>
    </row>
    <row r="1034" spans="1:4" x14ac:dyDescent="0.25">
      <c r="A1034" t="str">
        <f>T("721669")</f>
        <v>721669</v>
      </c>
      <c r="B1034"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1035" spans="1:4" x14ac:dyDescent="0.25">
      <c r="A1035" t="str">
        <f>T("   ZZZ_Monde")</f>
        <v xml:space="preserve">   ZZZ_Monde</v>
      </c>
      <c r="B1035" t="str">
        <f>T("   ZZZ_Monde")</f>
        <v xml:space="preserve">   ZZZ_Monde</v>
      </c>
      <c r="C1035">
        <v>203100364</v>
      </c>
      <c r="D1035">
        <v>415520</v>
      </c>
    </row>
    <row r="1036" spans="1:4" x14ac:dyDescent="0.25">
      <c r="A1036" t="str">
        <f>T("   TD")</f>
        <v xml:space="preserve">   TD</v>
      </c>
      <c r="B1036" t="str">
        <f>T("   Tchad")</f>
        <v xml:space="preserve">   Tchad</v>
      </c>
      <c r="C1036">
        <v>203100364</v>
      </c>
      <c r="D1036">
        <v>415520</v>
      </c>
    </row>
    <row r="1037" spans="1:4" x14ac:dyDescent="0.25">
      <c r="A1037" t="str">
        <f>T("721699")</f>
        <v>721699</v>
      </c>
      <c r="B1037" t="str">
        <f>T("Profilés en fer ou en aciers non alliés, obtenus ou parachevés à froid et ayant subi certaines ouvraisons plus poussées (autres que obtenus à partir de produits laminés plats) ou simplement forgés ou forgés ou autrement obtenus à chaud et ayant subi certa")</f>
        <v>Profilés en fer ou en aciers non alliés, obtenus ou parachevés à froid et ayant subi certaines ouvraisons plus poussées (autres que obtenus à partir de produits laminés plats) ou simplement forgés ou forgés ou autrement obtenus à chaud et ayant subi certa</v>
      </c>
    </row>
    <row r="1038" spans="1:4" x14ac:dyDescent="0.25">
      <c r="A1038" t="str">
        <f>T("   ZZZ_Monde")</f>
        <v xml:space="preserve">   ZZZ_Monde</v>
      </c>
      <c r="B1038" t="str">
        <f>T("   ZZZ_Monde")</f>
        <v xml:space="preserve">   ZZZ_Monde</v>
      </c>
      <c r="C1038">
        <v>4240004</v>
      </c>
      <c r="D1038">
        <v>8000</v>
      </c>
    </row>
    <row r="1039" spans="1:4" x14ac:dyDescent="0.25">
      <c r="A1039" t="str">
        <f>T("   TD")</f>
        <v xml:space="preserve">   TD</v>
      </c>
      <c r="B1039" t="str">
        <f>T("   Tchad")</f>
        <v xml:space="preserve">   Tchad</v>
      </c>
      <c r="C1039">
        <v>4240004</v>
      </c>
      <c r="D1039">
        <v>8000</v>
      </c>
    </row>
    <row r="1040" spans="1:4" x14ac:dyDescent="0.25">
      <c r="A1040" t="str">
        <f>T("721730")</f>
        <v>721730</v>
      </c>
      <c r="B1040" t="str">
        <f>T("FILS EN FER OU EN ACIERS NON-ALLIÉS, ENROULÉS, REVÊTUS DE MÉTAUX COMMUNS (À L'EXCL. DES FILS ZINGUÉS AINSI QUE DU FIL MACHINE)")</f>
        <v>FILS EN FER OU EN ACIERS NON-ALLIÉS, ENROULÉS, REVÊTUS DE MÉTAUX COMMUNS (À L'EXCL. DES FILS ZINGUÉS AINSI QUE DU FIL MACHINE)</v>
      </c>
    </row>
    <row r="1041" spans="1:4" x14ac:dyDescent="0.25">
      <c r="A1041" t="str">
        <f>T("   ZZZ_Monde")</f>
        <v xml:space="preserve">   ZZZ_Monde</v>
      </c>
      <c r="B1041" t="str">
        <f>T("   ZZZ_Monde")</f>
        <v xml:space="preserve">   ZZZ_Monde</v>
      </c>
      <c r="C1041">
        <v>49685547</v>
      </c>
      <c r="D1041">
        <v>76296</v>
      </c>
    </row>
    <row r="1042" spans="1:4" x14ac:dyDescent="0.25">
      <c r="A1042" t="str">
        <f>T("   CN")</f>
        <v xml:space="preserve">   CN</v>
      </c>
      <c r="B1042" t="str">
        <f>T("   Chine")</f>
        <v xml:space="preserve">   Chine</v>
      </c>
      <c r="C1042">
        <v>49685547</v>
      </c>
      <c r="D1042">
        <v>76296</v>
      </c>
    </row>
    <row r="1043" spans="1:4" x14ac:dyDescent="0.25">
      <c r="A1043" t="str">
        <f>T("721790")</f>
        <v>721790</v>
      </c>
      <c r="B1043" t="str">
        <f>T("FILS EN FER OU EN ACIERS NON-ALLIÉS, ENROULÉS, REVÊTUS (À L'EXCL. DU FIL MACHINE AINSI QUE DES FILS REVÊTUS DE MÉTAUX COMMUNS)")</f>
        <v>FILS EN FER OU EN ACIERS NON-ALLIÉS, ENROULÉS, REVÊTUS (À L'EXCL. DU FIL MACHINE AINSI QUE DES FILS REVÊTUS DE MÉTAUX COMMUNS)</v>
      </c>
    </row>
    <row r="1044" spans="1:4" x14ac:dyDescent="0.25">
      <c r="A1044" t="str">
        <f>T("   ZZZ_Monde")</f>
        <v xml:space="preserve">   ZZZ_Monde</v>
      </c>
      <c r="B1044" t="str">
        <f>T("   ZZZ_Monde")</f>
        <v xml:space="preserve">   ZZZ_Monde</v>
      </c>
      <c r="C1044">
        <v>225247325</v>
      </c>
      <c r="D1044">
        <v>385000</v>
      </c>
    </row>
    <row r="1045" spans="1:4" x14ac:dyDescent="0.25">
      <c r="A1045" t="str">
        <f>T("   NG")</f>
        <v xml:space="preserve">   NG</v>
      </c>
      <c r="B1045" t="str">
        <f>T("   Nigéria")</f>
        <v xml:space="preserve">   Nigéria</v>
      </c>
      <c r="C1045">
        <v>68766450</v>
      </c>
      <c r="D1045">
        <v>135000</v>
      </c>
    </row>
    <row r="1046" spans="1:4" x14ac:dyDescent="0.25">
      <c r="A1046" t="str">
        <f>T("   TD")</f>
        <v xml:space="preserve">   TD</v>
      </c>
      <c r="B1046" t="str">
        <f>T("   Tchad")</f>
        <v xml:space="preserve">   Tchad</v>
      </c>
      <c r="C1046">
        <v>156480875</v>
      </c>
      <c r="D1046">
        <v>250000</v>
      </c>
    </row>
    <row r="1047" spans="1:4" x14ac:dyDescent="0.25">
      <c r="A1047" t="str">
        <f>T("722990")</f>
        <v>722990</v>
      </c>
      <c r="B1047" t="str">
        <f>T("FILS EN ACIERS ALLIÉS AUTRES QU'ACIERS INOXYDABLES, EN COURONNES OU EN ROULEAUX (SAUF FIL MACHINE ET FIL EN ACIERS SILICOMANGANEUX)")</f>
        <v>FILS EN ACIERS ALLIÉS AUTRES QU'ACIERS INOXYDABLES, EN COURONNES OU EN ROULEAUX (SAUF FIL MACHINE ET FIL EN ACIERS SILICOMANGANEUX)</v>
      </c>
    </row>
    <row r="1048" spans="1:4" x14ac:dyDescent="0.25">
      <c r="A1048" t="str">
        <f>T("   ZZZ_Monde")</f>
        <v xml:space="preserve">   ZZZ_Monde</v>
      </c>
      <c r="B1048" t="str">
        <f>T("   ZZZ_Monde")</f>
        <v xml:space="preserve">   ZZZ_Monde</v>
      </c>
      <c r="C1048">
        <v>617707</v>
      </c>
      <c r="D1048">
        <v>283</v>
      </c>
    </row>
    <row r="1049" spans="1:4" x14ac:dyDescent="0.25">
      <c r="A1049" t="str">
        <f>T("   CI")</f>
        <v xml:space="preserve">   CI</v>
      </c>
      <c r="B1049" t="str">
        <f>T("   Côte d'Ivoire")</f>
        <v xml:space="preserve">   Côte d'Ivoire</v>
      </c>
      <c r="C1049">
        <v>617707</v>
      </c>
      <c r="D1049">
        <v>283</v>
      </c>
    </row>
    <row r="1050" spans="1:4" x14ac:dyDescent="0.25">
      <c r="A1050" t="str">
        <f>T("730690")</f>
        <v>730690</v>
      </c>
      <c r="B1050"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1051" spans="1:4" x14ac:dyDescent="0.25">
      <c r="A1051" t="str">
        <f>T("   ZZZ_Monde")</f>
        <v xml:space="preserve">   ZZZ_Monde</v>
      </c>
      <c r="B1051" t="str">
        <f>T("   ZZZ_Monde")</f>
        <v xml:space="preserve">   ZZZ_Monde</v>
      </c>
      <c r="C1051">
        <v>5174998</v>
      </c>
      <c r="D1051">
        <v>9000</v>
      </c>
    </row>
    <row r="1052" spans="1:4" x14ac:dyDescent="0.25">
      <c r="A1052" t="str">
        <f>T("   TD")</f>
        <v xml:space="preserve">   TD</v>
      </c>
      <c r="B1052" t="str">
        <f>T("   Tchad")</f>
        <v xml:space="preserve">   Tchad</v>
      </c>
      <c r="C1052">
        <v>5174998</v>
      </c>
      <c r="D1052">
        <v>9000</v>
      </c>
    </row>
    <row r="1053" spans="1:4" x14ac:dyDescent="0.25">
      <c r="A1053" t="str">
        <f>T("730820")</f>
        <v>730820</v>
      </c>
      <c r="B1053" t="str">
        <f>T("Tours et pylônes, en fer ou en acier")</f>
        <v>Tours et pylônes, en fer ou en acier</v>
      </c>
    </row>
    <row r="1054" spans="1:4" x14ac:dyDescent="0.25">
      <c r="A1054" t="str">
        <f>T("   ZZZ_Monde")</f>
        <v xml:space="preserve">   ZZZ_Monde</v>
      </c>
      <c r="B1054" t="str">
        <f>T("   ZZZ_Monde")</f>
        <v xml:space="preserve">   ZZZ_Monde</v>
      </c>
      <c r="C1054">
        <v>67983847</v>
      </c>
      <c r="D1054">
        <v>143000</v>
      </c>
    </row>
    <row r="1055" spans="1:4" x14ac:dyDescent="0.25">
      <c r="A1055" t="str">
        <f>T("   GA")</f>
        <v xml:space="preserve">   GA</v>
      </c>
      <c r="B1055" t="str">
        <f>T("   Gabon")</f>
        <v xml:space="preserve">   Gabon</v>
      </c>
      <c r="C1055">
        <v>66424265</v>
      </c>
      <c r="D1055">
        <v>135000</v>
      </c>
    </row>
    <row r="1056" spans="1:4" x14ac:dyDescent="0.25">
      <c r="A1056" t="str">
        <f>T("   GQ")</f>
        <v xml:space="preserve">   GQ</v>
      </c>
      <c r="B1056" t="str">
        <f>T("   Guinée Equatoriale")</f>
        <v xml:space="preserve">   Guinée Equatoriale</v>
      </c>
      <c r="C1056">
        <v>1559582</v>
      </c>
      <c r="D1056">
        <v>8000</v>
      </c>
    </row>
    <row r="1057" spans="1:4" x14ac:dyDescent="0.25">
      <c r="A1057" t="str">
        <f>T("730900")</f>
        <v>730900</v>
      </c>
      <c r="B1057"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1058" spans="1:4" x14ac:dyDescent="0.25">
      <c r="A1058" t="str">
        <f>T("   ZZZ_Monde")</f>
        <v xml:space="preserve">   ZZZ_Monde</v>
      </c>
      <c r="B1058" t="str">
        <f>T("   ZZZ_Monde")</f>
        <v xml:space="preserve">   ZZZ_Monde</v>
      </c>
      <c r="C1058">
        <v>5996791</v>
      </c>
      <c r="D1058">
        <v>18450</v>
      </c>
    </row>
    <row r="1059" spans="1:4" x14ac:dyDescent="0.25">
      <c r="A1059" t="str">
        <f>T("   FR")</f>
        <v xml:space="preserve">   FR</v>
      </c>
      <c r="B1059" t="str">
        <f>T("   France")</f>
        <v xml:space="preserve">   France</v>
      </c>
      <c r="C1059">
        <v>3300791</v>
      </c>
      <c r="D1059">
        <v>250</v>
      </c>
    </row>
    <row r="1060" spans="1:4" x14ac:dyDescent="0.25">
      <c r="A1060" t="str">
        <f>T("   TG")</f>
        <v xml:space="preserve">   TG</v>
      </c>
      <c r="B1060" t="str">
        <f>T("   Togo")</f>
        <v xml:space="preserve">   Togo</v>
      </c>
      <c r="C1060">
        <v>2696000</v>
      </c>
      <c r="D1060">
        <v>18200</v>
      </c>
    </row>
    <row r="1061" spans="1:4" x14ac:dyDescent="0.25">
      <c r="A1061" t="str">
        <f>T("731021")</f>
        <v>731021</v>
      </c>
      <c r="B1061" t="str">
        <f>T("Boîtes en fer ou en acier, contenance &lt; 50 l, à fermer par soudage ou sertissage (sauf pour gaz comprimés ou liquéfiés)")</f>
        <v>Boîtes en fer ou en acier, contenance &lt; 50 l, à fermer par soudage ou sertissage (sauf pour gaz comprimés ou liquéfiés)</v>
      </c>
    </row>
    <row r="1062" spans="1:4" x14ac:dyDescent="0.25">
      <c r="A1062" t="str">
        <f>T("   ZZZ_Monde")</f>
        <v xml:space="preserve">   ZZZ_Monde</v>
      </c>
      <c r="B1062" t="str">
        <f>T("   ZZZ_Monde")</f>
        <v xml:space="preserve">   ZZZ_Monde</v>
      </c>
      <c r="C1062">
        <v>34389054</v>
      </c>
      <c r="D1062">
        <v>76618</v>
      </c>
    </row>
    <row r="1063" spans="1:4" x14ac:dyDescent="0.25">
      <c r="A1063" t="str">
        <f>T("   BF")</f>
        <v xml:space="preserve">   BF</v>
      </c>
      <c r="B1063" t="str">
        <f>T("   Burkina Faso")</f>
        <v xml:space="preserve">   Burkina Faso</v>
      </c>
      <c r="C1063">
        <v>13699643</v>
      </c>
      <c r="D1063">
        <v>29805</v>
      </c>
    </row>
    <row r="1064" spans="1:4" x14ac:dyDescent="0.25">
      <c r="A1064" t="str">
        <f>T("   ML")</f>
        <v xml:space="preserve">   ML</v>
      </c>
      <c r="B1064" t="str">
        <f>T("   Mali")</f>
        <v xml:space="preserve">   Mali</v>
      </c>
      <c r="C1064">
        <v>5582254</v>
      </c>
      <c r="D1064">
        <v>10447</v>
      </c>
    </row>
    <row r="1065" spans="1:4" x14ac:dyDescent="0.25">
      <c r="A1065" t="str">
        <f>T("   NE")</f>
        <v xml:space="preserve">   NE</v>
      </c>
      <c r="B1065" t="str">
        <f>T("   Niger")</f>
        <v xml:space="preserve">   Niger</v>
      </c>
      <c r="C1065">
        <v>5744696</v>
      </c>
      <c r="D1065">
        <v>11154</v>
      </c>
    </row>
    <row r="1066" spans="1:4" x14ac:dyDescent="0.25">
      <c r="A1066" t="str">
        <f>T("   SN")</f>
        <v xml:space="preserve">   SN</v>
      </c>
      <c r="B1066" t="str">
        <f>T("   Sénégal")</f>
        <v xml:space="preserve">   Sénégal</v>
      </c>
      <c r="C1066">
        <v>9362461</v>
      </c>
      <c r="D1066">
        <v>25212</v>
      </c>
    </row>
    <row r="1067" spans="1:4" x14ac:dyDescent="0.25">
      <c r="A1067" t="str">
        <f>T("731100")</f>
        <v>731100</v>
      </c>
      <c r="B1067"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1068" spans="1:4" x14ac:dyDescent="0.25">
      <c r="A1068" t="str">
        <f>T("   ZZZ_Monde")</f>
        <v xml:space="preserve">   ZZZ_Monde</v>
      </c>
      <c r="B1068" t="str">
        <f>T("   ZZZ_Monde")</f>
        <v xml:space="preserve">   ZZZ_Monde</v>
      </c>
      <c r="C1068">
        <v>1203031</v>
      </c>
      <c r="D1068">
        <v>91</v>
      </c>
    </row>
    <row r="1069" spans="1:4" x14ac:dyDescent="0.25">
      <c r="A1069" t="str">
        <f>T("   FR")</f>
        <v xml:space="preserve">   FR</v>
      </c>
      <c r="B1069" t="str">
        <f>T("   France")</f>
        <v xml:space="preserve">   France</v>
      </c>
      <c r="C1069">
        <v>1203031</v>
      </c>
      <c r="D1069">
        <v>91</v>
      </c>
    </row>
    <row r="1070" spans="1:4" x14ac:dyDescent="0.25">
      <c r="A1070" t="str">
        <f>T("731700")</f>
        <v>731700</v>
      </c>
      <c r="B1070"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1071" spans="1:4" x14ac:dyDescent="0.25">
      <c r="A1071" t="str">
        <f>T("   ZZZ_Monde")</f>
        <v xml:space="preserve">   ZZZ_Monde</v>
      </c>
      <c r="B1071" t="str">
        <f>T("   ZZZ_Monde")</f>
        <v xml:space="preserve">   ZZZ_Monde</v>
      </c>
      <c r="C1071">
        <v>731426267</v>
      </c>
      <c r="D1071">
        <v>1219000</v>
      </c>
    </row>
    <row r="1072" spans="1:4" x14ac:dyDescent="0.25">
      <c r="A1072" t="str">
        <f>T("   NE")</f>
        <v xml:space="preserve">   NE</v>
      </c>
      <c r="B1072" t="str">
        <f>T("   Niger")</f>
        <v xml:space="preserve">   Niger</v>
      </c>
      <c r="C1072">
        <v>25536000</v>
      </c>
      <c r="D1072">
        <v>48000</v>
      </c>
    </row>
    <row r="1073" spans="1:4" x14ac:dyDescent="0.25">
      <c r="A1073" t="str">
        <f>T("   NG")</f>
        <v xml:space="preserve">   NG</v>
      </c>
      <c r="B1073" t="str">
        <f>T("   Nigéria")</f>
        <v xml:space="preserve">   Nigéria</v>
      </c>
      <c r="C1073">
        <v>15759864</v>
      </c>
      <c r="D1073">
        <v>30000</v>
      </c>
    </row>
    <row r="1074" spans="1:4" x14ac:dyDescent="0.25">
      <c r="A1074" t="str">
        <f>T("   TD")</f>
        <v xml:space="preserve">   TD</v>
      </c>
      <c r="B1074" t="str">
        <f>T("   Tchad")</f>
        <v xml:space="preserve">   Tchad</v>
      </c>
      <c r="C1074">
        <v>690130403</v>
      </c>
      <c r="D1074">
        <v>1141000</v>
      </c>
    </row>
    <row r="1075" spans="1:4" x14ac:dyDescent="0.25">
      <c r="A1075" t="str">
        <f>T("731815")</f>
        <v>731815</v>
      </c>
      <c r="B1075" t="str">
        <f>T("Vis et boulons filetés, en fonte, fer ou acier, même avec leurs écrous ou rondelles (à l'excl. des tire-fond et autres vis à bois, crochets et pitons à pas de vis, vis autotaraudeuses, clous taraudeurs ainsi que des chevilles vissées, tampons et articles")</f>
        <v>Vis et boulons filetés, en fonte, fer ou acier, même avec leurs écrous ou rondelles (à l'excl. des tire-fond et autres vis à bois, crochets et pitons à pas de vis, vis autotaraudeuses, clous taraudeurs ainsi que des chevilles vissées, tampons et articles</v>
      </c>
    </row>
    <row r="1076" spans="1:4" x14ac:dyDescent="0.25">
      <c r="A1076" t="str">
        <f>T("   ZZZ_Monde")</f>
        <v xml:space="preserve">   ZZZ_Monde</v>
      </c>
      <c r="B1076" t="str">
        <f>T("   ZZZ_Monde")</f>
        <v xml:space="preserve">   ZZZ_Monde</v>
      </c>
      <c r="C1076">
        <v>92565</v>
      </c>
      <c r="D1076">
        <v>18</v>
      </c>
    </row>
    <row r="1077" spans="1:4" x14ac:dyDescent="0.25">
      <c r="A1077" t="str">
        <f>T("   GB")</f>
        <v xml:space="preserve">   GB</v>
      </c>
      <c r="B1077" t="str">
        <f>T("   Royaume-Uni")</f>
        <v xml:space="preserve">   Royaume-Uni</v>
      </c>
      <c r="C1077">
        <v>92565</v>
      </c>
      <c r="D1077">
        <v>18</v>
      </c>
    </row>
    <row r="1078" spans="1:4" x14ac:dyDescent="0.25">
      <c r="A1078" t="str">
        <f>T("732393")</f>
        <v>732393</v>
      </c>
      <c r="B1078"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1079" spans="1:4" x14ac:dyDescent="0.25">
      <c r="A1079" t="str">
        <f>T("   ZZZ_Monde")</f>
        <v xml:space="preserve">   ZZZ_Monde</v>
      </c>
      <c r="B1079" t="str">
        <f>T("   ZZZ_Monde")</f>
        <v xml:space="preserve">   ZZZ_Monde</v>
      </c>
      <c r="C1079">
        <v>5776982</v>
      </c>
      <c r="D1079">
        <v>9000</v>
      </c>
    </row>
    <row r="1080" spans="1:4" x14ac:dyDescent="0.25">
      <c r="A1080" t="str">
        <f>T("   BF")</f>
        <v xml:space="preserve">   BF</v>
      </c>
      <c r="B1080" t="str">
        <f>T("   Burkina Faso")</f>
        <v xml:space="preserve">   Burkina Faso</v>
      </c>
      <c r="C1080">
        <v>1008424</v>
      </c>
      <c r="D1080">
        <v>1571</v>
      </c>
    </row>
    <row r="1081" spans="1:4" x14ac:dyDescent="0.25">
      <c r="A1081" t="str">
        <f>T("   ML")</f>
        <v xml:space="preserve">   ML</v>
      </c>
      <c r="B1081" t="str">
        <f>T("   Mali")</f>
        <v xml:space="preserve">   Mali</v>
      </c>
      <c r="C1081">
        <v>4768558</v>
      </c>
      <c r="D1081">
        <v>7429</v>
      </c>
    </row>
    <row r="1082" spans="1:4" x14ac:dyDescent="0.25">
      <c r="A1082" t="str">
        <f>T("732394")</f>
        <v>732394</v>
      </c>
      <c r="B1082"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1083" spans="1:4" x14ac:dyDescent="0.25">
      <c r="A1083" t="str">
        <f>T("   ZZZ_Monde")</f>
        <v xml:space="preserve">   ZZZ_Monde</v>
      </c>
      <c r="B1083" t="str">
        <f>T("   ZZZ_Monde")</f>
        <v xml:space="preserve">   ZZZ_Monde</v>
      </c>
      <c r="C1083">
        <v>15266600</v>
      </c>
      <c r="D1083">
        <v>22402</v>
      </c>
    </row>
    <row r="1084" spans="1:4" x14ac:dyDescent="0.25">
      <c r="A1084" t="str">
        <f>T("   BE")</f>
        <v xml:space="preserve">   BE</v>
      </c>
      <c r="B1084" t="str">
        <f>T("   Belgique")</f>
        <v xml:space="preserve">   Belgique</v>
      </c>
      <c r="C1084">
        <v>1850000</v>
      </c>
      <c r="D1084">
        <v>3050</v>
      </c>
    </row>
    <row r="1085" spans="1:4" x14ac:dyDescent="0.25">
      <c r="A1085" t="str">
        <f>T("   BF")</f>
        <v xml:space="preserve">   BF</v>
      </c>
      <c r="B1085" t="str">
        <f>T("   Burkina Faso")</f>
        <v xml:space="preserve">   Burkina Faso</v>
      </c>
      <c r="C1085">
        <v>1100000</v>
      </c>
      <c r="D1085">
        <v>1400</v>
      </c>
    </row>
    <row r="1086" spans="1:4" x14ac:dyDescent="0.25">
      <c r="A1086" t="str">
        <f>T("   BR")</f>
        <v xml:space="preserve">   BR</v>
      </c>
      <c r="B1086" t="str">
        <f>T("   Brésil")</f>
        <v xml:space="preserve">   Brésil</v>
      </c>
      <c r="C1086">
        <v>450000</v>
      </c>
      <c r="D1086">
        <v>800</v>
      </c>
    </row>
    <row r="1087" spans="1:4" x14ac:dyDescent="0.25">
      <c r="A1087" t="str">
        <f>T("   CD")</f>
        <v xml:space="preserve">   CD</v>
      </c>
      <c r="B1087" t="str">
        <f>T("   Congo, République Démocratique")</f>
        <v xml:space="preserve">   Congo, République Démocratique</v>
      </c>
      <c r="C1087">
        <v>300000</v>
      </c>
      <c r="D1087">
        <v>400</v>
      </c>
    </row>
    <row r="1088" spans="1:4" x14ac:dyDescent="0.25">
      <c r="A1088" t="str">
        <f>T("   CH")</f>
        <v xml:space="preserve">   CH</v>
      </c>
      <c r="B1088" t="str">
        <f>T("   Suisse")</f>
        <v xml:space="preserve">   Suisse</v>
      </c>
      <c r="C1088">
        <v>400000</v>
      </c>
      <c r="D1088">
        <v>700</v>
      </c>
    </row>
    <row r="1089" spans="1:4" x14ac:dyDescent="0.25">
      <c r="A1089" t="str">
        <f>T("   CI")</f>
        <v xml:space="preserve">   CI</v>
      </c>
      <c r="B1089" t="str">
        <f>T("   Côte d'Ivoire")</f>
        <v xml:space="preserve">   Côte d'Ivoire</v>
      </c>
      <c r="C1089">
        <v>1000000</v>
      </c>
      <c r="D1089">
        <v>1050</v>
      </c>
    </row>
    <row r="1090" spans="1:4" x14ac:dyDescent="0.25">
      <c r="A1090" t="str">
        <f>T("   CM")</f>
        <v xml:space="preserve">   CM</v>
      </c>
      <c r="B1090" t="str">
        <f>T("   Cameroun")</f>
        <v xml:space="preserve">   Cameroun</v>
      </c>
      <c r="C1090">
        <v>650000</v>
      </c>
      <c r="D1090">
        <v>700</v>
      </c>
    </row>
    <row r="1091" spans="1:4" x14ac:dyDescent="0.25">
      <c r="A1091" t="str">
        <f>T("   DE")</f>
        <v xml:space="preserve">   DE</v>
      </c>
      <c r="B1091" t="str">
        <f>T("   Allemagne")</f>
        <v xml:space="preserve">   Allemagne</v>
      </c>
      <c r="C1091">
        <v>1100000</v>
      </c>
      <c r="D1091">
        <v>1550</v>
      </c>
    </row>
    <row r="1092" spans="1:4" x14ac:dyDescent="0.25">
      <c r="A1092" t="str">
        <f>T("   DK")</f>
        <v xml:space="preserve">   DK</v>
      </c>
      <c r="B1092" t="str">
        <f>T("   Danemark")</f>
        <v xml:space="preserve">   Danemark</v>
      </c>
      <c r="C1092">
        <v>400000</v>
      </c>
      <c r="D1092">
        <v>400</v>
      </c>
    </row>
    <row r="1093" spans="1:4" x14ac:dyDescent="0.25">
      <c r="A1093" t="str">
        <f>T("   ET")</f>
        <v xml:space="preserve">   ET</v>
      </c>
      <c r="B1093" t="str">
        <f>T("   Ethiopie")</f>
        <v xml:space="preserve">   Ethiopie</v>
      </c>
      <c r="C1093">
        <v>300000</v>
      </c>
      <c r="D1093">
        <v>300</v>
      </c>
    </row>
    <row r="1094" spans="1:4" x14ac:dyDescent="0.25">
      <c r="A1094" t="str">
        <f>T("   FR")</f>
        <v xml:space="preserve">   FR</v>
      </c>
      <c r="B1094" t="str">
        <f>T("   France")</f>
        <v xml:space="preserve">   France</v>
      </c>
      <c r="C1094">
        <v>1950000</v>
      </c>
      <c r="D1094">
        <v>2550</v>
      </c>
    </row>
    <row r="1095" spans="1:4" x14ac:dyDescent="0.25">
      <c r="A1095" t="str">
        <f>T("   GA")</f>
        <v xml:space="preserve">   GA</v>
      </c>
      <c r="B1095" t="str">
        <f>T("   Gabon")</f>
        <v xml:space="preserve">   Gabon</v>
      </c>
      <c r="C1095">
        <v>1200000</v>
      </c>
      <c r="D1095">
        <v>1350</v>
      </c>
    </row>
    <row r="1096" spans="1:4" x14ac:dyDescent="0.25">
      <c r="A1096" t="str">
        <f>T("   GP")</f>
        <v xml:space="preserve">   GP</v>
      </c>
      <c r="B1096" t="str">
        <f>T("   Guadeloupe")</f>
        <v xml:space="preserve">   Guadeloupe</v>
      </c>
      <c r="C1096">
        <v>200000</v>
      </c>
      <c r="D1096">
        <v>350</v>
      </c>
    </row>
    <row r="1097" spans="1:4" x14ac:dyDescent="0.25">
      <c r="A1097" t="str">
        <f>T("   KE")</f>
        <v xml:space="preserve">   KE</v>
      </c>
      <c r="B1097" t="str">
        <f>T("   Kenya")</f>
        <v xml:space="preserve">   Kenya</v>
      </c>
      <c r="C1097">
        <v>300000</v>
      </c>
      <c r="D1097">
        <v>200</v>
      </c>
    </row>
    <row r="1098" spans="1:4" x14ac:dyDescent="0.25">
      <c r="A1098" t="str">
        <f>T("   MZ")</f>
        <v xml:space="preserve">   MZ</v>
      </c>
      <c r="B1098" t="str">
        <f>T("   Mozambique")</f>
        <v xml:space="preserve">   Mozambique</v>
      </c>
      <c r="C1098">
        <v>450000</v>
      </c>
      <c r="D1098">
        <v>800</v>
      </c>
    </row>
    <row r="1099" spans="1:4" x14ac:dyDescent="0.25">
      <c r="A1099" t="str">
        <f>T("   NE")</f>
        <v xml:space="preserve">   NE</v>
      </c>
      <c r="B1099" t="str">
        <f>T("   Niger")</f>
        <v xml:space="preserve">   Niger</v>
      </c>
      <c r="C1099">
        <v>200000</v>
      </c>
      <c r="D1099">
        <v>200</v>
      </c>
    </row>
    <row r="1100" spans="1:4" x14ac:dyDescent="0.25">
      <c r="A1100" t="str">
        <f>T("   NL")</f>
        <v xml:space="preserve">   NL</v>
      </c>
      <c r="B1100" t="str">
        <f>T("   Pays-bas")</f>
        <v xml:space="preserve">   Pays-bas</v>
      </c>
      <c r="C1100">
        <v>350000</v>
      </c>
      <c r="D1100">
        <v>600</v>
      </c>
    </row>
    <row r="1101" spans="1:4" x14ac:dyDescent="0.25">
      <c r="A1101" t="str">
        <f>T("   SN")</f>
        <v xml:space="preserve">   SN</v>
      </c>
      <c r="B1101" t="str">
        <f>T("   Sénégal")</f>
        <v xml:space="preserve">   Sénégal</v>
      </c>
      <c r="C1101">
        <v>1656600</v>
      </c>
      <c r="D1101">
        <v>2285</v>
      </c>
    </row>
    <row r="1102" spans="1:4" x14ac:dyDescent="0.25">
      <c r="A1102" t="str">
        <f>T("   US")</f>
        <v xml:space="preserve">   US</v>
      </c>
      <c r="B1102" t="str">
        <f>T("   Etats-Unis")</f>
        <v xml:space="preserve">   Etats-Unis</v>
      </c>
      <c r="C1102">
        <v>1410000</v>
      </c>
      <c r="D1102">
        <v>3717</v>
      </c>
    </row>
    <row r="1103" spans="1:4" x14ac:dyDescent="0.25">
      <c r="A1103" t="str">
        <f>T("732399")</f>
        <v>732399</v>
      </c>
      <c r="B1103"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1104" spans="1:4" x14ac:dyDescent="0.25">
      <c r="A1104" t="str">
        <f>T("   ZZZ_Monde")</f>
        <v xml:space="preserve">   ZZZ_Monde</v>
      </c>
      <c r="B1104" t="str">
        <f>T("   ZZZ_Monde")</f>
        <v xml:space="preserve">   ZZZ_Monde</v>
      </c>
      <c r="C1104">
        <v>54370600</v>
      </c>
      <c r="D1104">
        <v>50290</v>
      </c>
    </row>
    <row r="1105" spans="1:4" x14ac:dyDescent="0.25">
      <c r="A1105" t="str">
        <f>T("   CA")</f>
        <v xml:space="preserve">   CA</v>
      </c>
      <c r="B1105" t="str">
        <f>T("   Canada")</f>
        <v xml:space="preserve">   Canada</v>
      </c>
      <c r="C1105">
        <v>3800000</v>
      </c>
      <c r="D1105">
        <v>3500</v>
      </c>
    </row>
    <row r="1106" spans="1:4" x14ac:dyDescent="0.25">
      <c r="A1106" t="str">
        <f>T("   CG")</f>
        <v xml:space="preserve">   CG</v>
      </c>
      <c r="B1106" t="str">
        <f>T("   Congo (Brazzaville)")</f>
        <v xml:space="preserve">   Congo (Brazzaville)</v>
      </c>
      <c r="C1106">
        <v>1533600</v>
      </c>
      <c r="D1106">
        <v>1700</v>
      </c>
    </row>
    <row r="1107" spans="1:4" x14ac:dyDescent="0.25">
      <c r="A1107" t="str">
        <f>T("   CI")</f>
        <v xml:space="preserve">   CI</v>
      </c>
      <c r="B1107" t="str">
        <f>T("   Côte d'Ivoire")</f>
        <v xml:space="preserve">   Côte d'Ivoire</v>
      </c>
      <c r="C1107">
        <v>8500000</v>
      </c>
      <c r="D1107">
        <v>4000</v>
      </c>
    </row>
    <row r="1108" spans="1:4" x14ac:dyDescent="0.25">
      <c r="A1108" t="str">
        <f>T("   CM")</f>
        <v xml:space="preserve">   CM</v>
      </c>
      <c r="B1108" t="str">
        <f>T("   Cameroun")</f>
        <v xml:space="preserve">   Cameroun</v>
      </c>
      <c r="C1108">
        <v>4544000</v>
      </c>
      <c r="D1108">
        <v>5500</v>
      </c>
    </row>
    <row r="1109" spans="1:4" x14ac:dyDescent="0.25">
      <c r="A1109" t="str">
        <f>T("   FR")</f>
        <v xml:space="preserve">   FR</v>
      </c>
      <c r="B1109" t="str">
        <f>T("   France")</f>
        <v xml:space="preserve">   France</v>
      </c>
      <c r="C1109">
        <v>26390000</v>
      </c>
      <c r="D1109">
        <v>25690</v>
      </c>
    </row>
    <row r="1110" spans="1:4" x14ac:dyDescent="0.25">
      <c r="A1110" t="str">
        <f>T("   GH")</f>
        <v xml:space="preserve">   GH</v>
      </c>
      <c r="B1110" t="str">
        <f>T("   Ghana")</f>
        <v xml:space="preserve">   Ghana</v>
      </c>
      <c r="C1110">
        <v>503000</v>
      </c>
      <c r="D1110">
        <v>500</v>
      </c>
    </row>
    <row r="1111" spans="1:4" x14ac:dyDescent="0.25">
      <c r="A1111" t="str">
        <f>T("   GP")</f>
        <v xml:space="preserve">   GP</v>
      </c>
      <c r="B1111" t="str">
        <f>T("   Guadeloupe")</f>
        <v xml:space="preserve">   Guadeloupe</v>
      </c>
      <c r="C1111">
        <v>2100000</v>
      </c>
      <c r="D1111">
        <v>2800</v>
      </c>
    </row>
    <row r="1112" spans="1:4" x14ac:dyDescent="0.25">
      <c r="A1112" t="str">
        <f>T("   NE")</f>
        <v xml:space="preserve">   NE</v>
      </c>
      <c r="B1112" t="str">
        <f>T("   Niger")</f>
        <v xml:space="preserve">   Niger</v>
      </c>
      <c r="C1112">
        <v>3500000</v>
      </c>
      <c r="D1112">
        <v>3100</v>
      </c>
    </row>
    <row r="1113" spans="1:4" x14ac:dyDescent="0.25">
      <c r="A1113" t="str">
        <f>T("   TH")</f>
        <v xml:space="preserve">   TH</v>
      </c>
      <c r="B1113" t="str">
        <f>T("   Thaïlande")</f>
        <v xml:space="preserve">   Thaïlande</v>
      </c>
      <c r="C1113">
        <v>3500000</v>
      </c>
      <c r="D1113">
        <v>3500</v>
      </c>
    </row>
    <row r="1114" spans="1:4" x14ac:dyDescent="0.25">
      <c r="A1114" t="str">
        <f>T("732490")</f>
        <v>732490</v>
      </c>
      <c r="B1114" t="str">
        <f>T("Articles d'hygiène ou de toilette et leurs parties, en fonte, fer ou acier (à l'excl. des bidons, boîtes et récipients simil. du n° 7310, des petites armoires suspendues à pharmacie ou de toilette et autres meubles du chapitre 94, des éviers et lavabos co")</f>
        <v>Articles d'hygiène ou de toilette et leurs parties, en fonte, fer ou acier (à l'excl. des bidons, boîtes et récipients simil. du n° 7310, des petites armoires suspendues à pharmacie ou de toilette et autres meubles du chapitre 94, des éviers et lavabos co</v>
      </c>
    </row>
    <row r="1115" spans="1:4" x14ac:dyDescent="0.25">
      <c r="A1115" t="str">
        <f>T("   ZZZ_Monde")</f>
        <v xml:space="preserve">   ZZZ_Monde</v>
      </c>
      <c r="B1115" t="str">
        <f>T("   ZZZ_Monde")</f>
        <v xml:space="preserve">   ZZZ_Monde</v>
      </c>
      <c r="C1115">
        <v>1891000</v>
      </c>
      <c r="D1115">
        <v>2000</v>
      </c>
    </row>
    <row r="1116" spans="1:4" x14ac:dyDescent="0.25">
      <c r="A1116" t="str">
        <f>T("   GP")</f>
        <v xml:space="preserve">   GP</v>
      </c>
      <c r="B1116" t="str">
        <f>T("   Guadeloupe")</f>
        <v xml:space="preserve">   Guadeloupe</v>
      </c>
      <c r="C1116">
        <v>1891000</v>
      </c>
      <c r="D1116">
        <v>2000</v>
      </c>
    </row>
    <row r="1117" spans="1:4" x14ac:dyDescent="0.25">
      <c r="A1117" t="str">
        <f>T("732620")</f>
        <v>732620</v>
      </c>
      <c r="B1117" t="str">
        <f>T("Ouvrages en fil de fer ou d'acier, n.d.a.")</f>
        <v>Ouvrages en fil de fer ou d'acier, n.d.a.</v>
      </c>
    </row>
    <row r="1118" spans="1:4" x14ac:dyDescent="0.25">
      <c r="A1118" t="str">
        <f>T("   ZZZ_Monde")</f>
        <v xml:space="preserve">   ZZZ_Monde</v>
      </c>
      <c r="B1118" t="str">
        <f>T("   ZZZ_Monde")</f>
        <v xml:space="preserve">   ZZZ_Monde</v>
      </c>
      <c r="C1118">
        <v>38730484</v>
      </c>
      <c r="D1118">
        <v>48878</v>
      </c>
    </row>
    <row r="1119" spans="1:4" x14ac:dyDescent="0.25">
      <c r="A1119" t="str">
        <f>T("   FR")</f>
        <v xml:space="preserve">   FR</v>
      </c>
      <c r="B1119" t="str">
        <f>T("   France")</f>
        <v xml:space="preserve">   France</v>
      </c>
      <c r="C1119">
        <v>38444504</v>
      </c>
      <c r="D1119">
        <v>48778</v>
      </c>
    </row>
    <row r="1120" spans="1:4" x14ac:dyDescent="0.25">
      <c r="A1120" t="str">
        <f>T("   TG")</f>
        <v xml:space="preserve">   TG</v>
      </c>
      <c r="B1120" t="str">
        <f>T("   Togo")</f>
        <v xml:space="preserve">   Togo</v>
      </c>
      <c r="C1120">
        <v>285980</v>
      </c>
      <c r="D1120">
        <v>100</v>
      </c>
    </row>
    <row r="1121" spans="1:4" x14ac:dyDescent="0.25">
      <c r="A1121" t="str">
        <f>T("732690")</f>
        <v>732690</v>
      </c>
      <c r="B1121"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1122" spans="1:4" x14ac:dyDescent="0.25">
      <c r="A1122" t="str">
        <f>T("   ZZZ_Monde")</f>
        <v xml:space="preserve">   ZZZ_Monde</v>
      </c>
      <c r="B1122" t="str">
        <f>T("   ZZZ_Monde")</f>
        <v xml:space="preserve">   ZZZ_Monde</v>
      </c>
      <c r="C1122">
        <v>44409642</v>
      </c>
      <c r="D1122">
        <v>52290</v>
      </c>
    </row>
    <row r="1123" spans="1:4" x14ac:dyDescent="0.25">
      <c r="A1123" t="str">
        <f>T("   CH")</f>
        <v xml:space="preserve">   CH</v>
      </c>
      <c r="B1123" t="str">
        <f>T("   Suisse")</f>
        <v xml:space="preserve">   Suisse</v>
      </c>
      <c r="C1123">
        <v>15115758</v>
      </c>
      <c r="D1123">
        <v>18509</v>
      </c>
    </row>
    <row r="1124" spans="1:4" x14ac:dyDescent="0.25">
      <c r="A1124" t="str">
        <f>T("   CI")</f>
        <v xml:space="preserve">   CI</v>
      </c>
      <c r="B1124" t="str">
        <f>T("   Côte d'Ivoire")</f>
        <v xml:space="preserve">   Côte d'Ivoire</v>
      </c>
      <c r="C1124">
        <v>6899305</v>
      </c>
      <c r="D1124">
        <v>7203</v>
      </c>
    </row>
    <row r="1125" spans="1:4" x14ac:dyDescent="0.25">
      <c r="A1125" t="str">
        <f>T("   GB")</f>
        <v xml:space="preserve">   GB</v>
      </c>
      <c r="B1125" t="str">
        <f>T("   Royaume-Uni")</f>
        <v xml:space="preserve">   Royaume-Uni</v>
      </c>
      <c r="C1125">
        <v>5562210</v>
      </c>
      <c r="D1125">
        <v>6098</v>
      </c>
    </row>
    <row r="1126" spans="1:4" x14ac:dyDescent="0.25">
      <c r="A1126" t="str">
        <f>T("   NL")</f>
        <v xml:space="preserve">   NL</v>
      </c>
      <c r="B1126" t="str">
        <f>T("   Pays-bas")</f>
        <v xml:space="preserve">   Pays-bas</v>
      </c>
      <c r="C1126">
        <v>6463840</v>
      </c>
      <c r="D1126">
        <v>7866</v>
      </c>
    </row>
    <row r="1127" spans="1:4" x14ac:dyDescent="0.25">
      <c r="A1127" t="str">
        <f>T("   SG")</f>
        <v xml:space="preserve">   SG</v>
      </c>
      <c r="B1127" t="str">
        <f>T("   Singapour")</f>
        <v xml:space="preserve">   Singapour</v>
      </c>
      <c r="C1127">
        <v>10368529</v>
      </c>
      <c r="D1127">
        <v>12614</v>
      </c>
    </row>
    <row r="1128" spans="1:4" x14ac:dyDescent="0.25">
      <c r="A1128" t="str">
        <f>T("740400")</f>
        <v>740400</v>
      </c>
      <c r="B1128" t="str">
        <f>T("Déchets et débris de cuivre (à l'excl. des déchets lingotés ou formes brutes simil., en déchets et débris de cuivre fondus, et sauf cendres et résidus contenant du cuivre et déchets et débris de piles, batteries et accumulateurs électriques)")</f>
        <v>Déchets et débris de cuivre (à l'excl. des déchets lingotés ou formes brutes simil., en déchets et débris de cuivre fondus, et sauf cendres et résidus contenant du cuivre et déchets et débris de piles, batteries et accumulateurs électriques)</v>
      </c>
    </row>
    <row r="1129" spans="1:4" x14ac:dyDescent="0.25">
      <c r="A1129" t="str">
        <f>T("   ZZZ_Monde")</f>
        <v xml:space="preserve">   ZZZ_Monde</v>
      </c>
      <c r="B1129" t="str">
        <f>T("   ZZZ_Monde")</f>
        <v xml:space="preserve">   ZZZ_Monde</v>
      </c>
      <c r="C1129">
        <v>1250000</v>
      </c>
      <c r="D1129">
        <v>25000</v>
      </c>
    </row>
    <row r="1130" spans="1:4" x14ac:dyDescent="0.25">
      <c r="A1130" t="str">
        <f>T("   NL")</f>
        <v xml:space="preserve">   NL</v>
      </c>
      <c r="B1130" t="str">
        <f>T("   Pays-bas")</f>
        <v xml:space="preserve">   Pays-bas</v>
      </c>
      <c r="C1130">
        <v>1250000</v>
      </c>
      <c r="D1130">
        <v>25000</v>
      </c>
    </row>
    <row r="1131" spans="1:4" x14ac:dyDescent="0.25">
      <c r="A1131" t="str">
        <f>T("741819")</f>
        <v>741819</v>
      </c>
      <c r="B1131"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1132" spans="1:4" x14ac:dyDescent="0.25">
      <c r="A1132" t="str">
        <f>T("   ZZZ_Monde")</f>
        <v xml:space="preserve">   ZZZ_Monde</v>
      </c>
      <c r="B1132" t="str">
        <f>T("   ZZZ_Monde")</f>
        <v xml:space="preserve">   ZZZ_Monde</v>
      </c>
      <c r="C1132">
        <v>2492648</v>
      </c>
      <c r="D1132">
        <v>350</v>
      </c>
    </row>
    <row r="1133" spans="1:4" x14ac:dyDescent="0.25">
      <c r="A1133" t="str">
        <f>T("   FR")</f>
        <v xml:space="preserve">   FR</v>
      </c>
      <c r="B1133" t="str">
        <f>T("   France")</f>
        <v xml:space="preserve">   France</v>
      </c>
      <c r="C1133">
        <v>1311920</v>
      </c>
      <c r="D1133">
        <v>150</v>
      </c>
    </row>
    <row r="1134" spans="1:4" x14ac:dyDescent="0.25">
      <c r="A1134" t="str">
        <f>T("   GH")</f>
        <v xml:space="preserve">   GH</v>
      </c>
      <c r="B1134" t="str">
        <f>T("   Ghana")</f>
        <v xml:space="preserve">   Ghana</v>
      </c>
      <c r="C1134">
        <v>1180728</v>
      </c>
      <c r="D1134">
        <v>200</v>
      </c>
    </row>
    <row r="1135" spans="1:4" x14ac:dyDescent="0.25">
      <c r="A1135" t="str">
        <f>T("760200")</f>
        <v>760200</v>
      </c>
      <c r="B1135"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1136" spans="1:4" x14ac:dyDescent="0.25">
      <c r="A1136" t="str">
        <f>T("   ZZZ_Monde")</f>
        <v xml:space="preserve">   ZZZ_Monde</v>
      </c>
      <c r="B1136" t="str">
        <f>T("   ZZZ_Monde")</f>
        <v xml:space="preserve">   ZZZ_Monde</v>
      </c>
      <c r="C1136">
        <v>45745000</v>
      </c>
      <c r="D1136">
        <v>978700</v>
      </c>
    </row>
    <row r="1137" spans="1:4" x14ac:dyDescent="0.25">
      <c r="A1137" t="str">
        <f>T("   AE")</f>
        <v xml:space="preserve">   AE</v>
      </c>
      <c r="B1137" t="str">
        <f>T("   Emirats Arabes Unis")</f>
        <v xml:space="preserve">   Emirats Arabes Unis</v>
      </c>
      <c r="C1137">
        <v>10000000</v>
      </c>
      <c r="D1137">
        <v>200000</v>
      </c>
    </row>
    <row r="1138" spans="1:4" x14ac:dyDescent="0.25">
      <c r="A1138" t="str">
        <f>T("   CN")</f>
        <v xml:space="preserve">   CN</v>
      </c>
      <c r="B1138" t="str">
        <f>T("   Chine")</f>
        <v xml:space="preserve">   Chine</v>
      </c>
      <c r="C1138">
        <v>2125000</v>
      </c>
      <c r="D1138">
        <v>44300</v>
      </c>
    </row>
    <row r="1139" spans="1:4" x14ac:dyDescent="0.25">
      <c r="A1139" t="str">
        <f>T("   ID")</f>
        <v xml:space="preserve">   ID</v>
      </c>
      <c r="B1139" t="str">
        <f>T("   Indonésie")</f>
        <v xml:space="preserve">   Indonésie</v>
      </c>
      <c r="C1139">
        <v>400000</v>
      </c>
      <c r="D1139">
        <v>10000</v>
      </c>
    </row>
    <row r="1140" spans="1:4" x14ac:dyDescent="0.25">
      <c r="A1140" t="str">
        <f>T("   IN")</f>
        <v xml:space="preserve">   IN</v>
      </c>
      <c r="B1140" t="str">
        <f>T("   Inde")</f>
        <v xml:space="preserve">   Inde</v>
      </c>
      <c r="C1140">
        <v>28968000</v>
      </c>
      <c r="D1140">
        <v>639360</v>
      </c>
    </row>
    <row r="1141" spans="1:4" x14ac:dyDescent="0.25">
      <c r="A1141" t="str">
        <f>T("   IT")</f>
        <v xml:space="preserve">   IT</v>
      </c>
      <c r="B1141" t="str">
        <f>T("   Italie")</f>
        <v xml:space="preserve">   Italie</v>
      </c>
      <c r="C1141">
        <v>502000</v>
      </c>
      <c r="D1141">
        <v>10040</v>
      </c>
    </row>
    <row r="1142" spans="1:4" x14ac:dyDescent="0.25">
      <c r="A1142" t="str">
        <f>T("   KR")</f>
        <v xml:space="preserve">   KR</v>
      </c>
      <c r="B1142" t="str">
        <f>T("   Corée, République de")</f>
        <v xml:space="preserve">   Corée, République de</v>
      </c>
      <c r="C1142">
        <v>3750000</v>
      </c>
      <c r="D1142">
        <v>75000</v>
      </c>
    </row>
    <row r="1143" spans="1:4" x14ac:dyDescent="0.25">
      <c r="A1143" t="str">
        <f>T("760421")</f>
        <v>760421</v>
      </c>
      <c r="B1143" t="str">
        <f>T("Profilés creux en alliages d'aluminium, n.d.a.")</f>
        <v>Profilés creux en alliages d'aluminium, n.d.a.</v>
      </c>
    </row>
    <row r="1144" spans="1:4" x14ac:dyDescent="0.25">
      <c r="A1144" t="str">
        <f>T("   ZZZ_Monde")</f>
        <v xml:space="preserve">   ZZZ_Monde</v>
      </c>
      <c r="B1144" t="str">
        <f>T("   ZZZ_Monde")</f>
        <v xml:space="preserve">   ZZZ_Monde</v>
      </c>
      <c r="C1144">
        <v>25283859</v>
      </c>
      <c r="D1144">
        <v>71744</v>
      </c>
    </row>
    <row r="1145" spans="1:4" x14ac:dyDescent="0.25">
      <c r="A1145" t="str">
        <f>T("   FR")</f>
        <v xml:space="preserve">   FR</v>
      </c>
      <c r="B1145" t="str">
        <f>T("   France")</f>
        <v xml:space="preserve">   France</v>
      </c>
      <c r="C1145">
        <v>21885449</v>
      </c>
      <c r="D1145">
        <v>58570</v>
      </c>
    </row>
    <row r="1146" spans="1:4" x14ac:dyDescent="0.25">
      <c r="A1146" t="str">
        <f>T("   GH")</f>
        <v xml:space="preserve">   GH</v>
      </c>
      <c r="B1146" t="str">
        <f>T("   Ghana")</f>
        <v xml:space="preserve">   Ghana</v>
      </c>
      <c r="C1146">
        <v>3398410</v>
      </c>
      <c r="D1146">
        <v>13174</v>
      </c>
    </row>
    <row r="1147" spans="1:4" x14ac:dyDescent="0.25">
      <c r="A1147" t="str">
        <f>T("760429")</f>
        <v>760429</v>
      </c>
      <c r="B1147" t="str">
        <f>T("Barres et profilés pleins en alliages d'aluminium, n.d.a.")</f>
        <v>Barres et profilés pleins en alliages d'aluminium, n.d.a.</v>
      </c>
    </row>
    <row r="1148" spans="1:4" x14ac:dyDescent="0.25">
      <c r="A1148" t="str">
        <f>T("   ZZZ_Monde")</f>
        <v xml:space="preserve">   ZZZ_Monde</v>
      </c>
      <c r="B1148" t="str">
        <f>T("   ZZZ_Monde")</f>
        <v xml:space="preserve">   ZZZ_Monde</v>
      </c>
      <c r="C1148">
        <v>5000000</v>
      </c>
      <c r="D1148">
        <v>100000</v>
      </c>
    </row>
    <row r="1149" spans="1:4" x14ac:dyDescent="0.25">
      <c r="A1149" t="str">
        <f>T("   CN")</f>
        <v xml:space="preserve">   CN</v>
      </c>
      <c r="B1149" t="str">
        <f>T("   Chine")</f>
        <v xml:space="preserve">   Chine</v>
      </c>
      <c r="C1149">
        <v>4000000</v>
      </c>
      <c r="D1149">
        <v>80000</v>
      </c>
    </row>
    <row r="1150" spans="1:4" x14ac:dyDescent="0.25">
      <c r="A1150" t="str">
        <f>T("   IN")</f>
        <v xml:space="preserve">   IN</v>
      </c>
      <c r="B1150" t="str">
        <f>T("   Inde")</f>
        <v xml:space="preserve">   Inde</v>
      </c>
      <c r="C1150">
        <v>1000000</v>
      </c>
      <c r="D1150">
        <v>20000</v>
      </c>
    </row>
    <row r="1151" spans="1:4" x14ac:dyDescent="0.25">
      <c r="A1151" t="str">
        <f>T("760519")</f>
        <v>760519</v>
      </c>
      <c r="B1151" t="str">
        <f>T("FILS EN ALUMINIUM NON ALLIÉ, DONT LA PLUS GRANDE DIMENSION DE LA SECTION TRANSVERSALE EST &lt;= 7 MM (À L'EXCL. DES CORDES HARMONIQUES, DES FILS ISOLÉS POUR L'ÉLECTRICITÉ AINSI QUE DES TORONS, CÂBLES, TRESSES ET ARTICLES SIMIL. DU N° 7614) [01/01/1988-31/12/")</f>
        <v>FILS EN ALUMINIUM NON ALLIÉ, DONT LA PLUS GRANDE DIMENSION DE LA SECTION TRANSVERSALE EST &lt;= 7 MM (À L'EXCL. DES CORDES HARMONIQUES, DES FILS ISOLÉS POUR L'ÉLECTRICITÉ AINSI QUE DES TORONS, CÂBLES, TRESSES ET ARTICLES SIMIL. DU N° 7614) [01/01/1988-31/12/</v>
      </c>
    </row>
    <row r="1152" spans="1:4" x14ac:dyDescent="0.25">
      <c r="A1152" t="str">
        <f>T("   ZZZ_Monde")</f>
        <v xml:space="preserve">   ZZZ_Monde</v>
      </c>
      <c r="B1152" t="str">
        <f>T("   ZZZ_Monde")</f>
        <v xml:space="preserve">   ZZZ_Monde</v>
      </c>
      <c r="C1152">
        <v>500000</v>
      </c>
      <c r="D1152">
        <v>10000</v>
      </c>
    </row>
    <row r="1153" spans="1:4" x14ac:dyDescent="0.25">
      <c r="A1153" t="str">
        <f>T("   CN")</f>
        <v xml:space="preserve">   CN</v>
      </c>
      <c r="B1153" t="str">
        <f>T("   Chine")</f>
        <v xml:space="preserve">   Chine</v>
      </c>
      <c r="C1153">
        <v>500000</v>
      </c>
      <c r="D1153">
        <v>10000</v>
      </c>
    </row>
    <row r="1154" spans="1:4" x14ac:dyDescent="0.25">
      <c r="A1154" t="str">
        <f>T("761090")</f>
        <v>761090</v>
      </c>
      <c r="B1154"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1155" spans="1:4" x14ac:dyDescent="0.25">
      <c r="A1155" t="str">
        <f>T("   ZZZ_Monde")</f>
        <v xml:space="preserve">   ZZZ_Monde</v>
      </c>
      <c r="B1155" t="str">
        <f>T("   ZZZ_Monde")</f>
        <v xml:space="preserve">   ZZZ_Monde</v>
      </c>
      <c r="C1155">
        <v>10288733</v>
      </c>
      <c r="D1155">
        <v>10600</v>
      </c>
    </row>
    <row r="1156" spans="1:4" x14ac:dyDescent="0.25">
      <c r="A1156" t="str">
        <f>T("   CI")</f>
        <v xml:space="preserve">   CI</v>
      </c>
      <c r="B1156" t="str">
        <f>T("   Côte d'Ivoire")</f>
        <v xml:space="preserve">   Côte d'Ivoire</v>
      </c>
      <c r="C1156">
        <v>10288733</v>
      </c>
      <c r="D1156">
        <v>10600</v>
      </c>
    </row>
    <row r="1157" spans="1:4" x14ac:dyDescent="0.25">
      <c r="A1157" t="str">
        <f>T("761519")</f>
        <v>761519</v>
      </c>
      <c r="B1157"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1158" spans="1:4" x14ac:dyDescent="0.25">
      <c r="A1158" t="str">
        <f>T("   ZZZ_Monde")</f>
        <v xml:space="preserve">   ZZZ_Monde</v>
      </c>
      <c r="B1158" t="str">
        <f>T("   ZZZ_Monde")</f>
        <v xml:space="preserve">   ZZZ_Monde</v>
      </c>
      <c r="C1158">
        <v>4245270</v>
      </c>
      <c r="D1158">
        <v>6230</v>
      </c>
    </row>
    <row r="1159" spans="1:4" x14ac:dyDescent="0.25">
      <c r="A1159" t="str">
        <f>T("   BF")</f>
        <v xml:space="preserve">   BF</v>
      </c>
      <c r="B1159" t="str">
        <f>T("   Burkina Faso")</f>
        <v xml:space="preserve">   Burkina Faso</v>
      </c>
      <c r="C1159">
        <v>291313</v>
      </c>
      <c r="D1159">
        <v>100</v>
      </c>
    </row>
    <row r="1160" spans="1:4" x14ac:dyDescent="0.25">
      <c r="A1160" t="str">
        <f>T("   GN")</f>
        <v xml:space="preserve">   GN</v>
      </c>
      <c r="B1160" t="str">
        <f>T("   Guinée")</f>
        <v xml:space="preserve">   Guinée</v>
      </c>
      <c r="C1160">
        <v>1332140</v>
      </c>
      <c r="D1160">
        <v>5230</v>
      </c>
    </row>
    <row r="1161" spans="1:4" x14ac:dyDescent="0.25">
      <c r="A1161" t="str">
        <f>T("   ML")</f>
        <v xml:space="preserve">   ML</v>
      </c>
      <c r="B1161" t="str">
        <f>T("   Mali")</f>
        <v xml:space="preserve">   Mali</v>
      </c>
      <c r="C1161">
        <v>2330504</v>
      </c>
      <c r="D1161">
        <v>800</v>
      </c>
    </row>
    <row r="1162" spans="1:4" x14ac:dyDescent="0.25">
      <c r="A1162" t="str">
        <f>T("   NE")</f>
        <v xml:space="preserve">   NE</v>
      </c>
      <c r="B1162" t="str">
        <f>T("   Niger")</f>
        <v xml:space="preserve">   Niger</v>
      </c>
      <c r="C1162">
        <v>291313</v>
      </c>
      <c r="D1162">
        <v>100</v>
      </c>
    </row>
    <row r="1163" spans="1:4" x14ac:dyDescent="0.25">
      <c r="A1163" t="str">
        <f>T("761699")</f>
        <v>761699</v>
      </c>
      <c r="B1163" t="str">
        <f>T("Ouvrages en aluminium, n.d.a.")</f>
        <v>Ouvrages en aluminium, n.d.a.</v>
      </c>
    </row>
    <row r="1164" spans="1:4" x14ac:dyDescent="0.25">
      <c r="A1164" t="str">
        <f>T("   ZZZ_Monde")</f>
        <v xml:space="preserve">   ZZZ_Monde</v>
      </c>
      <c r="B1164" t="str">
        <f>T("   ZZZ_Monde")</f>
        <v xml:space="preserve">   ZZZ_Monde</v>
      </c>
      <c r="C1164">
        <v>6116485</v>
      </c>
      <c r="D1164">
        <v>42729</v>
      </c>
    </row>
    <row r="1165" spans="1:4" x14ac:dyDescent="0.25">
      <c r="A1165" t="str">
        <f>T("   CI")</f>
        <v xml:space="preserve">   CI</v>
      </c>
      <c r="B1165" t="str">
        <f>T("   Côte d'Ivoire")</f>
        <v xml:space="preserve">   Côte d'Ivoire</v>
      </c>
      <c r="C1165">
        <v>2159357</v>
      </c>
      <c r="D1165">
        <v>50</v>
      </c>
    </row>
    <row r="1166" spans="1:4" x14ac:dyDescent="0.25">
      <c r="A1166" t="str">
        <f>T("   FR")</f>
        <v xml:space="preserve">   FR</v>
      </c>
      <c r="B1166" t="str">
        <f>T("   France")</f>
        <v xml:space="preserve">   France</v>
      </c>
      <c r="C1166">
        <v>1830128</v>
      </c>
      <c r="D1166">
        <v>139</v>
      </c>
    </row>
    <row r="1167" spans="1:4" x14ac:dyDescent="0.25">
      <c r="A1167" t="str">
        <f>T("   IN")</f>
        <v xml:space="preserve">   IN</v>
      </c>
      <c r="B1167" t="str">
        <f>T("   Inde")</f>
        <v xml:space="preserve">   Inde</v>
      </c>
      <c r="C1167">
        <v>2127000</v>
      </c>
      <c r="D1167">
        <v>42540</v>
      </c>
    </row>
    <row r="1168" spans="1:4" x14ac:dyDescent="0.25">
      <c r="A1168" t="str">
        <f>T("790700")</f>
        <v>790700</v>
      </c>
      <c r="B1168" t="str">
        <f>T("Ouvrages en zinc, n.d.a.")</f>
        <v>Ouvrages en zinc, n.d.a.</v>
      </c>
    </row>
    <row r="1169" spans="1:4" x14ac:dyDescent="0.25">
      <c r="A1169" t="str">
        <f>T("   ZZZ_Monde")</f>
        <v xml:space="preserve">   ZZZ_Monde</v>
      </c>
      <c r="B1169" t="str">
        <f>T("   ZZZ_Monde")</f>
        <v xml:space="preserve">   ZZZ_Monde</v>
      </c>
      <c r="C1169">
        <v>6000000</v>
      </c>
      <c r="D1169">
        <v>180000</v>
      </c>
    </row>
    <row r="1170" spans="1:4" x14ac:dyDescent="0.25">
      <c r="A1170" t="str">
        <f>T("   CN")</f>
        <v xml:space="preserve">   CN</v>
      </c>
      <c r="B1170" t="str">
        <f>T("   Chine")</f>
        <v xml:space="preserve">   Chine</v>
      </c>
      <c r="C1170">
        <v>750000</v>
      </c>
      <c r="D1170">
        <v>15000</v>
      </c>
    </row>
    <row r="1171" spans="1:4" x14ac:dyDescent="0.25">
      <c r="A1171" t="str">
        <f>T("   IN")</f>
        <v xml:space="preserve">   IN</v>
      </c>
      <c r="B1171" t="str">
        <f>T("   Inde")</f>
        <v xml:space="preserve">   Inde</v>
      </c>
      <c r="C1171">
        <v>5250000</v>
      </c>
      <c r="D1171">
        <v>165000</v>
      </c>
    </row>
    <row r="1172" spans="1:4" x14ac:dyDescent="0.25">
      <c r="A1172" t="str">
        <f>T("820210")</f>
        <v>820210</v>
      </c>
      <c r="B1172" t="str">
        <f>T("Scies à main, avec partie travaillante en métaux communs (à l'excl. des tronçonneuses)")</f>
        <v>Scies à main, avec partie travaillante en métaux communs (à l'excl. des tronçonneuses)</v>
      </c>
    </row>
    <row r="1173" spans="1:4" x14ac:dyDescent="0.25">
      <c r="A1173" t="str">
        <f>T("   ZZZ_Monde")</f>
        <v xml:space="preserve">   ZZZ_Monde</v>
      </c>
      <c r="B1173" t="str">
        <f>T("   ZZZ_Monde")</f>
        <v xml:space="preserve">   ZZZ_Monde</v>
      </c>
      <c r="C1173">
        <v>1061949</v>
      </c>
      <c r="D1173">
        <v>204</v>
      </c>
    </row>
    <row r="1174" spans="1:4" x14ac:dyDescent="0.25">
      <c r="A1174" t="str">
        <f>T("   GB")</f>
        <v xml:space="preserve">   GB</v>
      </c>
      <c r="B1174" t="str">
        <f>T("   Royaume-Uni")</f>
        <v xml:space="preserve">   Royaume-Uni</v>
      </c>
      <c r="C1174">
        <v>1061949</v>
      </c>
      <c r="D1174">
        <v>204</v>
      </c>
    </row>
    <row r="1175" spans="1:4" x14ac:dyDescent="0.25">
      <c r="A1175" t="str">
        <f>T("820310")</f>
        <v>820310</v>
      </c>
      <c r="B1175" t="str">
        <f>T("Limes, râpes et outils simil. à main, en métaux communs")</f>
        <v>Limes, râpes et outils simil. à main, en métaux communs</v>
      </c>
    </row>
    <row r="1176" spans="1:4" x14ac:dyDescent="0.25">
      <c r="A1176" t="str">
        <f>T("   ZZZ_Monde")</f>
        <v xml:space="preserve">   ZZZ_Monde</v>
      </c>
      <c r="B1176" t="str">
        <f>T("   ZZZ_Monde")</f>
        <v xml:space="preserve">   ZZZ_Monde</v>
      </c>
      <c r="C1176">
        <v>3117778</v>
      </c>
      <c r="D1176">
        <v>236</v>
      </c>
    </row>
    <row r="1177" spans="1:4" x14ac:dyDescent="0.25">
      <c r="A1177" t="str">
        <f>T("   FR")</f>
        <v xml:space="preserve">   FR</v>
      </c>
      <c r="B1177" t="str">
        <f>T("   France")</f>
        <v xml:space="preserve">   France</v>
      </c>
      <c r="C1177">
        <v>3117778</v>
      </c>
      <c r="D1177">
        <v>236</v>
      </c>
    </row>
    <row r="1178" spans="1:4" x14ac:dyDescent="0.25">
      <c r="A1178" t="str">
        <f>T("820510")</f>
        <v>820510</v>
      </c>
      <c r="B1178" t="str">
        <f>T("Outils de perçage, de filetage ou de taraudage, maniés à la main")</f>
        <v>Outils de perçage, de filetage ou de taraudage, maniés à la main</v>
      </c>
    </row>
    <row r="1179" spans="1:4" x14ac:dyDescent="0.25">
      <c r="A1179" t="str">
        <f>T("   ZZZ_Monde")</f>
        <v xml:space="preserve">   ZZZ_Monde</v>
      </c>
      <c r="B1179" t="str">
        <f>T("   ZZZ_Monde")</f>
        <v xml:space="preserve">   ZZZ_Monde</v>
      </c>
      <c r="C1179">
        <v>550000</v>
      </c>
      <c r="D1179">
        <v>1500</v>
      </c>
    </row>
    <row r="1180" spans="1:4" x14ac:dyDescent="0.25">
      <c r="A1180" t="str">
        <f>T("   GA")</f>
        <v xml:space="preserve">   GA</v>
      </c>
      <c r="B1180" t="str">
        <f>T("   Gabon")</f>
        <v xml:space="preserve">   Gabon</v>
      </c>
      <c r="C1180">
        <v>550000</v>
      </c>
      <c r="D1180">
        <v>1500</v>
      </c>
    </row>
    <row r="1181" spans="1:4" x14ac:dyDescent="0.25">
      <c r="A1181" t="str">
        <f>T("820559")</f>
        <v>820559</v>
      </c>
      <c r="B1181" t="str">
        <f>T("Outils à main, y.c. -les diamants de vitrier-, en métaux communs, n.d.a.")</f>
        <v>Outils à main, y.c. -les diamants de vitrier-, en métaux communs, n.d.a.</v>
      </c>
    </row>
    <row r="1182" spans="1:4" x14ac:dyDescent="0.25">
      <c r="A1182" t="str">
        <f>T("   ZZZ_Monde")</f>
        <v xml:space="preserve">   ZZZ_Monde</v>
      </c>
      <c r="B1182" t="str">
        <f>T("   ZZZ_Monde")</f>
        <v xml:space="preserve">   ZZZ_Monde</v>
      </c>
      <c r="C1182">
        <v>2199516</v>
      </c>
      <c r="D1182">
        <v>303</v>
      </c>
    </row>
    <row r="1183" spans="1:4" x14ac:dyDescent="0.25">
      <c r="A1183" t="str">
        <f>T("   CI")</f>
        <v xml:space="preserve">   CI</v>
      </c>
      <c r="B1183" t="str">
        <f>T("   Côte d'Ivoire")</f>
        <v xml:space="preserve">   Côte d'Ivoire</v>
      </c>
      <c r="C1183">
        <v>2199516</v>
      </c>
      <c r="D1183">
        <v>303</v>
      </c>
    </row>
    <row r="1184" spans="1:4" x14ac:dyDescent="0.25">
      <c r="A1184" t="str">
        <f>T("820790")</f>
        <v>820790</v>
      </c>
      <c r="B1184" t="str">
        <f>T("Outils interchangeables pour outillage à main, mécanique ou non, ou pour machines-outils, n.d.a.")</f>
        <v>Outils interchangeables pour outillage à main, mécanique ou non, ou pour machines-outils, n.d.a.</v>
      </c>
    </row>
    <row r="1185" spans="1:4" x14ac:dyDescent="0.25">
      <c r="A1185" t="str">
        <f>T("   ZZZ_Monde")</f>
        <v xml:space="preserve">   ZZZ_Monde</v>
      </c>
      <c r="B1185" t="str">
        <f>T("   ZZZ_Monde")</f>
        <v xml:space="preserve">   ZZZ_Monde</v>
      </c>
      <c r="C1185">
        <v>13747579</v>
      </c>
      <c r="D1185">
        <v>71651</v>
      </c>
    </row>
    <row r="1186" spans="1:4" x14ac:dyDescent="0.25">
      <c r="A1186" t="str">
        <f>T("   FR")</f>
        <v xml:space="preserve">   FR</v>
      </c>
      <c r="B1186" t="str">
        <f>T("   France")</f>
        <v xml:space="preserve">   France</v>
      </c>
      <c r="C1186">
        <v>9247579</v>
      </c>
      <c r="D1186">
        <v>56151</v>
      </c>
    </row>
    <row r="1187" spans="1:4" x14ac:dyDescent="0.25">
      <c r="A1187" t="str">
        <f>T("   TG")</f>
        <v xml:space="preserve">   TG</v>
      </c>
      <c r="B1187" t="str">
        <f>T("   Togo")</f>
        <v xml:space="preserve">   Togo</v>
      </c>
      <c r="C1187">
        <v>4500000</v>
      </c>
      <c r="D1187">
        <v>15500</v>
      </c>
    </row>
    <row r="1188" spans="1:4" x14ac:dyDescent="0.25">
      <c r="A1188" t="str">
        <f>T("821210")</f>
        <v>821210</v>
      </c>
      <c r="B1188" t="str">
        <f>T("Rasoirs et rasoirs de sûreté non-électriques, en métaux communs")</f>
        <v>Rasoirs et rasoirs de sûreté non-électriques, en métaux communs</v>
      </c>
    </row>
    <row r="1189" spans="1:4" x14ac:dyDescent="0.25">
      <c r="A1189" t="str">
        <f>T("   ZZZ_Monde")</f>
        <v xml:space="preserve">   ZZZ_Monde</v>
      </c>
      <c r="B1189" t="str">
        <f>T("   ZZZ_Monde")</f>
        <v xml:space="preserve">   ZZZ_Monde</v>
      </c>
      <c r="C1189">
        <v>958800</v>
      </c>
      <c r="D1189">
        <v>856</v>
      </c>
    </row>
    <row r="1190" spans="1:4" x14ac:dyDescent="0.25">
      <c r="A1190" t="str">
        <f>T("   AE")</f>
        <v xml:space="preserve">   AE</v>
      </c>
      <c r="B1190" t="str">
        <f>T("   Emirats Arabes Unis")</f>
        <v xml:space="preserve">   Emirats Arabes Unis</v>
      </c>
      <c r="C1190">
        <v>958800</v>
      </c>
      <c r="D1190">
        <v>856</v>
      </c>
    </row>
    <row r="1191" spans="1:4" x14ac:dyDescent="0.25">
      <c r="A1191" t="str">
        <f>T("821599")</f>
        <v>821599</v>
      </c>
      <c r="B1191"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1192" spans="1:4" x14ac:dyDescent="0.25">
      <c r="A1192" t="str">
        <f>T("   ZZZ_Monde")</f>
        <v xml:space="preserve">   ZZZ_Monde</v>
      </c>
      <c r="B1192" t="str">
        <f>T("   ZZZ_Monde")</f>
        <v xml:space="preserve">   ZZZ_Monde</v>
      </c>
      <c r="C1192">
        <v>182300000</v>
      </c>
      <c r="D1192">
        <v>53550</v>
      </c>
    </row>
    <row r="1193" spans="1:4" x14ac:dyDescent="0.25">
      <c r="A1193" t="str">
        <f>T("   BF")</f>
        <v xml:space="preserve">   BF</v>
      </c>
      <c r="B1193" t="str">
        <f>T("   Burkina Faso")</f>
        <v xml:space="preserve">   Burkina Faso</v>
      </c>
      <c r="C1193">
        <v>182300000</v>
      </c>
      <c r="D1193">
        <v>53550</v>
      </c>
    </row>
    <row r="1194" spans="1:4" x14ac:dyDescent="0.25">
      <c r="A1194" t="str">
        <f>T("830140")</f>
        <v>830140</v>
      </c>
      <c r="B1194"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1195" spans="1:4" x14ac:dyDescent="0.25">
      <c r="A1195" t="str">
        <f>T("   ZZZ_Monde")</f>
        <v xml:space="preserve">   ZZZ_Monde</v>
      </c>
      <c r="B1195" t="str">
        <f>T("   ZZZ_Monde")</f>
        <v xml:space="preserve">   ZZZ_Monde</v>
      </c>
      <c r="C1195">
        <v>240000</v>
      </c>
      <c r="D1195">
        <v>2250</v>
      </c>
    </row>
    <row r="1196" spans="1:4" x14ac:dyDescent="0.25">
      <c r="A1196" t="str">
        <f>T("   TG")</f>
        <v xml:space="preserve">   TG</v>
      </c>
      <c r="B1196" t="str">
        <f>T("   Togo")</f>
        <v xml:space="preserve">   Togo</v>
      </c>
      <c r="C1196">
        <v>240000</v>
      </c>
      <c r="D1196">
        <v>2250</v>
      </c>
    </row>
    <row r="1197" spans="1:4" x14ac:dyDescent="0.25">
      <c r="A1197" t="str">
        <f>T("830910")</f>
        <v>830910</v>
      </c>
      <c r="B1197" t="str">
        <f>T("Bouchons-couronnes en métaux communs")</f>
        <v>Bouchons-couronnes en métaux communs</v>
      </c>
    </row>
    <row r="1198" spans="1:4" x14ac:dyDescent="0.25">
      <c r="A1198" t="str">
        <f>T("   ZZZ_Monde")</f>
        <v xml:space="preserve">   ZZZ_Monde</v>
      </c>
      <c r="B1198" t="str">
        <f>T("   ZZZ_Monde")</f>
        <v xml:space="preserve">   ZZZ_Monde</v>
      </c>
      <c r="C1198">
        <v>17150050</v>
      </c>
      <c r="D1198">
        <v>7317</v>
      </c>
    </row>
    <row r="1199" spans="1:4" x14ac:dyDescent="0.25">
      <c r="A1199" t="str">
        <f>T("   CI")</f>
        <v xml:space="preserve">   CI</v>
      </c>
      <c r="B1199" t="str">
        <f>T("   Côte d'Ivoire")</f>
        <v xml:space="preserve">   Côte d'Ivoire</v>
      </c>
      <c r="C1199">
        <v>16066050</v>
      </c>
      <c r="D1199">
        <v>6852</v>
      </c>
    </row>
    <row r="1200" spans="1:4" x14ac:dyDescent="0.25">
      <c r="A1200" t="str">
        <f>T("   TG")</f>
        <v xml:space="preserve">   TG</v>
      </c>
      <c r="B1200" t="str">
        <f>T("   Togo")</f>
        <v xml:space="preserve">   Togo</v>
      </c>
      <c r="C1200">
        <v>1084000</v>
      </c>
      <c r="D1200">
        <v>465</v>
      </c>
    </row>
    <row r="1201" spans="1:4" x14ac:dyDescent="0.25">
      <c r="A1201" t="str">
        <f>T("840790")</f>
        <v>840790</v>
      </c>
      <c r="B1201" t="s">
        <v>15</v>
      </c>
    </row>
    <row r="1202" spans="1:4" x14ac:dyDescent="0.25">
      <c r="A1202" t="str">
        <f>T("   ZZZ_Monde")</f>
        <v xml:space="preserve">   ZZZ_Monde</v>
      </c>
      <c r="B1202" t="str">
        <f>T("   ZZZ_Monde")</f>
        <v xml:space="preserve">   ZZZ_Monde</v>
      </c>
      <c r="C1202">
        <v>1100000</v>
      </c>
      <c r="D1202">
        <v>51100</v>
      </c>
    </row>
    <row r="1203" spans="1:4" x14ac:dyDescent="0.25">
      <c r="A1203" t="str">
        <f>T("   GA")</f>
        <v xml:space="preserve">   GA</v>
      </c>
      <c r="B1203" t="str">
        <f>T("   Gabon")</f>
        <v xml:space="preserve">   Gabon</v>
      </c>
      <c r="C1203">
        <v>800000</v>
      </c>
      <c r="D1203">
        <v>50850</v>
      </c>
    </row>
    <row r="1204" spans="1:4" x14ac:dyDescent="0.25">
      <c r="A1204" t="str">
        <f>T("   GQ")</f>
        <v xml:space="preserve">   GQ</v>
      </c>
      <c r="B1204" t="str">
        <f>T("   Guinée Equatoriale")</f>
        <v xml:space="preserve">   Guinée Equatoriale</v>
      </c>
      <c r="C1204">
        <v>300000</v>
      </c>
      <c r="D1204">
        <v>250</v>
      </c>
    </row>
    <row r="1205" spans="1:4" x14ac:dyDescent="0.25">
      <c r="A1205" t="str">
        <f>T("840820")</f>
        <v>840820</v>
      </c>
      <c r="B1205" t="s">
        <v>16</v>
      </c>
    </row>
    <row r="1206" spans="1:4" x14ac:dyDescent="0.25">
      <c r="A1206" t="str">
        <f>T("   ZZZ_Monde")</f>
        <v xml:space="preserve">   ZZZ_Monde</v>
      </c>
      <c r="B1206" t="str">
        <f>T("   ZZZ_Monde")</f>
        <v xml:space="preserve">   ZZZ_Monde</v>
      </c>
      <c r="C1206">
        <v>5615000</v>
      </c>
      <c r="D1206">
        <v>4670</v>
      </c>
    </row>
    <row r="1207" spans="1:4" x14ac:dyDescent="0.25">
      <c r="A1207" t="str">
        <f>T("   GN")</f>
        <v xml:space="preserve">   GN</v>
      </c>
      <c r="B1207" t="str">
        <f>T("   Guinée")</f>
        <v xml:space="preserve">   Guinée</v>
      </c>
      <c r="C1207">
        <v>2520000</v>
      </c>
      <c r="D1207">
        <v>1150</v>
      </c>
    </row>
    <row r="1208" spans="1:4" x14ac:dyDescent="0.25">
      <c r="A1208" t="str">
        <f>T("   GQ")</f>
        <v xml:space="preserve">   GQ</v>
      </c>
      <c r="B1208" t="str">
        <f>T("   Guinée Equatoriale")</f>
        <v xml:space="preserve">   Guinée Equatoriale</v>
      </c>
      <c r="C1208">
        <v>3095000</v>
      </c>
      <c r="D1208">
        <v>3520</v>
      </c>
    </row>
    <row r="1209" spans="1:4" x14ac:dyDescent="0.25">
      <c r="A1209" t="str">
        <f>T("840890")</f>
        <v>840890</v>
      </c>
      <c r="B1209" t="s">
        <v>17</v>
      </c>
    </row>
    <row r="1210" spans="1:4" x14ac:dyDescent="0.25">
      <c r="A1210" t="str">
        <f>T("   ZZZ_Monde")</f>
        <v xml:space="preserve">   ZZZ_Monde</v>
      </c>
      <c r="B1210" t="str">
        <f>T("   ZZZ_Monde")</f>
        <v xml:space="preserve">   ZZZ_Monde</v>
      </c>
      <c r="C1210">
        <v>66494913</v>
      </c>
      <c r="D1210">
        <v>4770</v>
      </c>
    </row>
    <row r="1211" spans="1:4" x14ac:dyDescent="0.25">
      <c r="A1211" t="str">
        <f>T("   FR")</f>
        <v xml:space="preserve">   FR</v>
      </c>
      <c r="B1211" t="str">
        <f>T("   France")</f>
        <v xml:space="preserve">   France</v>
      </c>
      <c r="C1211">
        <v>1000000</v>
      </c>
      <c r="D1211">
        <v>1000</v>
      </c>
    </row>
    <row r="1212" spans="1:4" x14ac:dyDescent="0.25">
      <c r="A1212" t="str">
        <f>T("   US")</f>
        <v xml:space="preserve">   US</v>
      </c>
      <c r="B1212" t="str">
        <f>T("   Etats-Unis")</f>
        <v xml:space="preserve">   Etats-Unis</v>
      </c>
      <c r="C1212">
        <v>65494913</v>
      </c>
      <c r="D1212">
        <v>3770</v>
      </c>
    </row>
    <row r="1213" spans="1:4" x14ac:dyDescent="0.25">
      <c r="A1213" t="str">
        <f>T("840999")</f>
        <v>840999</v>
      </c>
      <c r="B1213"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1214" spans="1:4" x14ac:dyDescent="0.25">
      <c r="A1214" t="str">
        <f>T("   ZZZ_Monde")</f>
        <v xml:space="preserve">   ZZZ_Monde</v>
      </c>
      <c r="B1214" t="str">
        <f>T("   ZZZ_Monde")</f>
        <v xml:space="preserve">   ZZZ_Monde</v>
      </c>
      <c r="C1214">
        <v>1897088</v>
      </c>
      <c r="D1214">
        <v>3917</v>
      </c>
    </row>
    <row r="1215" spans="1:4" x14ac:dyDescent="0.25">
      <c r="A1215" t="str">
        <f>T("   BE")</f>
        <v xml:space="preserve">   BE</v>
      </c>
      <c r="B1215" t="str">
        <f>T("   Belgique")</f>
        <v xml:space="preserve">   Belgique</v>
      </c>
      <c r="C1215">
        <v>1897088</v>
      </c>
      <c r="D1215">
        <v>3917</v>
      </c>
    </row>
    <row r="1216" spans="1:4" x14ac:dyDescent="0.25">
      <c r="A1216" t="str">
        <f>T("841280")</f>
        <v>841280</v>
      </c>
      <c r="B1216"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1217" spans="1:4" x14ac:dyDescent="0.25">
      <c r="A1217" t="str">
        <f>T("   ZZZ_Monde")</f>
        <v xml:space="preserve">   ZZZ_Monde</v>
      </c>
      <c r="B1217" t="str">
        <f>T("   ZZZ_Monde")</f>
        <v xml:space="preserve">   ZZZ_Monde</v>
      </c>
      <c r="C1217">
        <v>395000</v>
      </c>
      <c r="D1217">
        <v>1050</v>
      </c>
    </row>
    <row r="1218" spans="1:4" x14ac:dyDescent="0.25">
      <c r="A1218" t="str">
        <f>T("   TG")</f>
        <v xml:space="preserve">   TG</v>
      </c>
      <c r="B1218" t="str">
        <f>T("   Togo")</f>
        <v xml:space="preserve">   Togo</v>
      </c>
      <c r="C1218">
        <v>395000</v>
      </c>
      <c r="D1218">
        <v>1050</v>
      </c>
    </row>
    <row r="1219" spans="1:4" x14ac:dyDescent="0.25">
      <c r="A1219" t="str">
        <f>T("841381")</f>
        <v>841381</v>
      </c>
      <c r="B1219"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220" spans="1:4" x14ac:dyDescent="0.25">
      <c r="A1220" t="str">
        <f>T("   ZZZ_Monde")</f>
        <v xml:space="preserve">   ZZZ_Monde</v>
      </c>
      <c r="B1220" t="str">
        <f>T("   ZZZ_Monde")</f>
        <v xml:space="preserve">   ZZZ_Monde</v>
      </c>
      <c r="C1220">
        <v>11516009</v>
      </c>
      <c r="D1220">
        <v>6923</v>
      </c>
    </row>
    <row r="1221" spans="1:4" x14ac:dyDescent="0.25">
      <c r="A1221" t="str">
        <f>T("   BF")</f>
        <v xml:space="preserve">   BF</v>
      </c>
      <c r="B1221" t="str">
        <f>T("   Burkina Faso")</f>
        <v xml:space="preserve">   Burkina Faso</v>
      </c>
      <c r="C1221">
        <v>9176880</v>
      </c>
      <c r="D1221">
        <v>1923</v>
      </c>
    </row>
    <row r="1222" spans="1:4" x14ac:dyDescent="0.25">
      <c r="A1222" t="str">
        <f>T("   GN")</f>
        <v xml:space="preserve">   GN</v>
      </c>
      <c r="B1222" t="str">
        <f>T("   Guinée")</f>
        <v xml:space="preserve">   Guinée</v>
      </c>
      <c r="C1222">
        <v>2339129</v>
      </c>
      <c r="D1222">
        <v>5000</v>
      </c>
    </row>
    <row r="1223" spans="1:4" x14ac:dyDescent="0.25">
      <c r="A1223" t="str">
        <f>T("841430")</f>
        <v>841430</v>
      </c>
      <c r="B1223" t="str">
        <f>T("Compresseurs des types utilisés pour équipements frigorifiques")</f>
        <v>Compresseurs des types utilisés pour équipements frigorifiques</v>
      </c>
    </row>
    <row r="1224" spans="1:4" x14ac:dyDescent="0.25">
      <c r="A1224" t="str">
        <f>T("   ZZZ_Monde")</f>
        <v xml:space="preserve">   ZZZ_Monde</v>
      </c>
      <c r="B1224" t="str">
        <f>T("   ZZZ_Monde")</f>
        <v xml:space="preserve">   ZZZ_Monde</v>
      </c>
      <c r="C1224">
        <v>2354564</v>
      </c>
      <c r="D1224">
        <v>265</v>
      </c>
    </row>
    <row r="1225" spans="1:4" x14ac:dyDescent="0.25">
      <c r="A1225" t="str">
        <f>T("   DE")</f>
        <v xml:space="preserve">   DE</v>
      </c>
      <c r="B1225" t="str">
        <f>T("   Allemagne")</f>
        <v xml:space="preserve">   Allemagne</v>
      </c>
      <c r="C1225">
        <v>2119682</v>
      </c>
      <c r="D1225">
        <v>65</v>
      </c>
    </row>
    <row r="1226" spans="1:4" x14ac:dyDescent="0.25">
      <c r="A1226" t="str">
        <f>T("   NG")</f>
        <v xml:space="preserve">   NG</v>
      </c>
      <c r="B1226" t="str">
        <f>T("   Nigéria")</f>
        <v xml:space="preserve">   Nigéria</v>
      </c>
      <c r="C1226">
        <v>234882</v>
      </c>
      <c r="D1226">
        <v>200</v>
      </c>
    </row>
    <row r="1227" spans="1:4" x14ac:dyDescent="0.25">
      <c r="A1227" t="str">
        <f>T("841440")</f>
        <v>841440</v>
      </c>
      <c r="B1227" t="str">
        <f>T("Compresseurs d'air montés sur châssis à roues et remorquables")</f>
        <v>Compresseurs d'air montés sur châssis à roues et remorquables</v>
      </c>
    </row>
    <row r="1228" spans="1:4" x14ac:dyDescent="0.25">
      <c r="A1228" t="str">
        <f>T("   ZZZ_Monde")</f>
        <v xml:space="preserve">   ZZZ_Monde</v>
      </c>
      <c r="B1228" t="str">
        <f>T("   ZZZ_Monde")</f>
        <v xml:space="preserve">   ZZZ_Monde</v>
      </c>
      <c r="C1228">
        <v>16414913</v>
      </c>
      <c r="D1228">
        <v>5866</v>
      </c>
    </row>
    <row r="1229" spans="1:4" x14ac:dyDescent="0.25">
      <c r="A1229" t="str">
        <f>T("   FR")</f>
        <v xml:space="preserve">   FR</v>
      </c>
      <c r="B1229" t="str">
        <f>T("   France")</f>
        <v xml:space="preserve">   France</v>
      </c>
      <c r="C1229">
        <v>5482513</v>
      </c>
      <c r="D1229">
        <v>416</v>
      </c>
    </row>
    <row r="1230" spans="1:4" x14ac:dyDescent="0.25">
      <c r="A1230" t="str">
        <f>T("   GA")</f>
        <v xml:space="preserve">   GA</v>
      </c>
      <c r="B1230" t="str">
        <f>T("   Gabon")</f>
        <v xml:space="preserve">   Gabon</v>
      </c>
      <c r="C1230">
        <v>100000</v>
      </c>
      <c r="D1230">
        <v>950</v>
      </c>
    </row>
    <row r="1231" spans="1:4" x14ac:dyDescent="0.25">
      <c r="A1231" t="str">
        <f>T("   NE")</f>
        <v xml:space="preserve">   NE</v>
      </c>
      <c r="B1231" t="str">
        <f>T("   Niger")</f>
        <v xml:space="preserve">   Niger</v>
      </c>
      <c r="C1231">
        <v>10832400</v>
      </c>
      <c r="D1231">
        <v>4500</v>
      </c>
    </row>
    <row r="1232" spans="1:4" x14ac:dyDescent="0.25">
      <c r="A1232" t="str">
        <f>T("841810")</f>
        <v>841810</v>
      </c>
      <c r="B1232" t="str">
        <f>T("Réfrigérateurs et congélateurs-conservateurs combinés, avec portes extérieures séparées")</f>
        <v>Réfrigérateurs et congélateurs-conservateurs combinés, avec portes extérieures séparées</v>
      </c>
    </row>
    <row r="1233" spans="1:4" x14ac:dyDescent="0.25">
      <c r="A1233" t="str">
        <f>T("   ZZZ_Monde")</f>
        <v xml:space="preserve">   ZZZ_Monde</v>
      </c>
      <c r="B1233" t="str">
        <f>T("   ZZZ_Monde")</f>
        <v xml:space="preserve">   ZZZ_Monde</v>
      </c>
      <c r="C1233">
        <v>95716868</v>
      </c>
      <c r="D1233">
        <v>29760</v>
      </c>
    </row>
    <row r="1234" spans="1:4" x14ac:dyDescent="0.25">
      <c r="A1234" t="str">
        <f>T("   TG")</f>
        <v xml:space="preserve">   TG</v>
      </c>
      <c r="B1234" t="str">
        <f>T("   Togo")</f>
        <v xml:space="preserve">   Togo</v>
      </c>
      <c r="C1234">
        <v>95716868</v>
      </c>
      <c r="D1234">
        <v>29760</v>
      </c>
    </row>
    <row r="1235" spans="1:4" x14ac:dyDescent="0.25">
      <c r="A1235" t="str">
        <f>T("841829")</f>
        <v>841829</v>
      </c>
      <c r="B1235" t="str">
        <f>T("Réfrigérateurs ménagers à absorption, non-électriques")</f>
        <v>Réfrigérateurs ménagers à absorption, non-électriques</v>
      </c>
    </row>
    <row r="1236" spans="1:4" x14ac:dyDescent="0.25">
      <c r="A1236" t="str">
        <f>T("   ZZZ_Monde")</f>
        <v xml:space="preserve">   ZZZ_Monde</v>
      </c>
      <c r="B1236" t="str">
        <f>T("   ZZZ_Monde")</f>
        <v xml:space="preserve">   ZZZ_Monde</v>
      </c>
      <c r="C1236">
        <v>121008008</v>
      </c>
      <c r="D1236">
        <v>35750</v>
      </c>
    </row>
    <row r="1237" spans="1:4" x14ac:dyDescent="0.25">
      <c r="A1237" t="str">
        <f>T("   GH")</f>
        <v xml:space="preserve">   GH</v>
      </c>
      <c r="B1237" t="str">
        <f>T("   Ghana")</f>
        <v xml:space="preserve">   Ghana</v>
      </c>
      <c r="C1237">
        <v>41985575</v>
      </c>
      <c r="D1237">
        <v>12700</v>
      </c>
    </row>
    <row r="1238" spans="1:4" x14ac:dyDescent="0.25">
      <c r="A1238" t="str">
        <f>T("   GQ")</f>
        <v xml:space="preserve">   GQ</v>
      </c>
      <c r="B1238" t="str">
        <f>T("   Guinée Equatoriale")</f>
        <v xml:space="preserve">   Guinée Equatoriale</v>
      </c>
      <c r="C1238">
        <v>120000</v>
      </c>
      <c r="D1238">
        <v>50</v>
      </c>
    </row>
    <row r="1239" spans="1:4" x14ac:dyDescent="0.25">
      <c r="A1239" t="str">
        <f>T("   TG")</f>
        <v xml:space="preserve">   TG</v>
      </c>
      <c r="B1239" t="str">
        <f>T("   Togo")</f>
        <v xml:space="preserve">   Togo</v>
      </c>
      <c r="C1239">
        <v>78902433</v>
      </c>
      <c r="D1239">
        <v>23000</v>
      </c>
    </row>
    <row r="1240" spans="1:4" x14ac:dyDescent="0.25">
      <c r="A1240" t="str">
        <f>T("841850")</f>
        <v>841850</v>
      </c>
      <c r="B1240"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241" spans="1:4" x14ac:dyDescent="0.25">
      <c r="A1241" t="str">
        <f>T("   ZZZ_Monde")</f>
        <v xml:space="preserve">   ZZZ_Monde</v>
      </c>
      <c r="B1241" t="str">
        <f>T("   ZZZ_Monde")</f>
        <v xml:space="preserve">   ZZZ_Monde</v>
      </c>
      <c r="C1241">
        <v>310000</v>
      </c>
      <c r="D1241">
        <v>6</v>
      </c>
    </row>
    <row r="1242" spans="1:4" x14ac:dyDescent="0.25">
      <c r="A1242" t="str">
        <f>T("   GQ")</f>
        <v xml:space="preserve">   GQ</v>
      </c>
      <c r="B1242" t="str">
        <f>T("   Guinée Equatoriale")</f>
        <v xml:space="preserve">   Guinée Equatoriale</v>
      </c>
      <c r="C1242">
        <v>310000</v>
      </c>
      <c r="D1242">
        <v>6</v>
      </c>
    </row>
    <row r="1243" spans="1:4" x14ac:dyDescent="0.25">
      <c r="A1243" t="str">
        <f>T("841989")</f>
        <v>841989</v>
      </c>
      <c r="B1243" t="str">
        <f>T("Appareils et dispositifs, même chauffés électriquement, pour le traitement de matières par des opérations impliquant un changement de température telles que le chauffage, la cuisson, la torréfaction, la stérilisation, la pasteurisation, l'étuvage,  l'évap")</f>
        <v>Appareils et dispositifs, même chauffés électriquement, pour le traitement de matières par des opérations impliquant un changement de température telles que le chauffage, la cuisson, la torréfaction, la stérilisation, la pasteurisation, l'étuvage,  l'évap</v>
      </c>
    </row>
    <row r="1244" spans="1:4" x14ac:dyDescent="0.25">
      <c r="A1244" t="str">
        <f>T("   ZZZ_Monde")</f>
        <v xml:space="preserve">   ZZZ_Monde</v>
      </c>
      <c r="B1244" t="str">
        <f>T("   ZZZ_Monde")</f>
        <v xml:space="preserve">   ZZZ_Monde</v>
      </c>
      <c r="C1244">
        <v>1500000</v>
      </c>
      <c r="D1244">
        <v>18200</v>
      </c>
    </row>
    <row r="1245" spans="1:4" x14ac:dyDescent="0.25">
      <c r="A1245" t="str">
        <f>T("   TG")</f>
        <v xml:space="preserve">   TG</v>
      </c>
      <c r="B1245" t="str">
        <f>T("   Togo")</f>
        <v xml:space="preserve">   Togo</v>
      </c>
      <c r="C1245">
        <v>1500000</v>
      </c>
      <c r="D1245">
        <v>18200</v>
      </c>
    </row>
    <row r="1246" spans="1:4" x14ac:dyDescent="0.25">
      <c r="A1246" t="str">
        <f>T("842121")</f>
        <v>842121</v>
      </c>
      <c r="B1246" t="str">
        <f>T("Appareils pour la filtration ou l'épuration des eaux")</f>
        <v>Appareils pour la filtration ou l'épuration des eaux</v>
      </c>
    </row>
    <row r="1247" spans="1:4" x14ac:dyDescent="0.25">
      <c r="A1247" t="str">
        <f>T("   ZZZ_Monde")</f>
        <v xml:space="preserve">   ZZZ_Monde</v>
      </c>
      <c r="B1247" t="str">
        <f>T("   ZZZ_Monde")</f>
        <v xml:space="preserve">   ZZZ_Monde</v>
      </c>
      <c r="C1247">
        <v>14000000</v>
      </c>
      <c r="D1247">
        <v>6533</v>
      </c>
    </row>
    <row r="1248" spans="1:4" x14ac:dyDescent="0.25">
      <c r="A1248" t="str">
        <f>T("   CD")</f>
        <v xml:space="preserve">   CD</v>
      </c>
      <c r="B1248" t="str">
        <f>T("   Congo, République Démocratique")</f>
        <v xml:space="preserve">   Congo, République Démocratique</v>
      </c>
      <c r="C1248">
        <v>14000000</v>
      </c>
      <c r="D1248">
        <v>6533</v>
      </c>
    </row>
    <row r="1249" spans="1:4" x14ac:dyDescent="0.25">
      <c r="A1249" t="str">
        <f>T("842199")</f>
        <v>842199</v>
      </c>
      <c r="B1249" t="str">
        <f>T("Parties d'appareils pour la filtration ou l'épuration des liquides ou des gaz, n.d.a.")</f>
        <v>Parties d'appareils pour la filtration ou l'épuration des liquides ou des gaz, n.d.a.</v>
      </c>
    </row>
    <row r="1250" spans="1:4" x14ac:dyDescent="0.25">
      <c r="A1250" t="str">
        <f>T("   ZZZ_Monde")</f>
        <v xml:space="preserve">   ZZZ_Monde</v>
      </c>
      <c r="B1250" t="str">
        <f>T("   ZZZ_Monde")</f>
        <v xml:space="preserve">   ZZZ_Monde</v>
      </c>
      <c r="C1250">
        <v>1000000</v>
      </c>
      <c r="D1250">
        <v>467</v>
      </c>
    </row>
    <row r="1251" spans="1:4" x14ac:dyDescent="0.25">
      <c r="A1251" t="str">
        <f>T("   CD")</f>
        <v xml:space="preserve">   CD</v>
      </c>
      <c r="B1251" t="str">
        <f>T("   Congo, République Démocratique")</f>
        <v xml:space="preserve">   Congo, République Démocratique</v>
      </c>
      <c r="C1251">
        <v>1000000</v>
      </c>
      <c r="D1251">
        <v>467</v>
      </c>
    </row>
    <row r="1252" spans="1:4" x14ac:dyDescent="0.25">
      <c r="A1252" t="str">
        <f>T("842230")</f>
        <v>842230</v>
      </c>
      <c r="B1252"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253" spans="1:4" x14ac:dyDescent="0.25">
      <c r="A1253" t="str">
        <f>T("   ZZZ_Monde")</f>
        <v xml:space="preserve">   ZZZ_Monde</v>
      </c>
      <c r="B1253" t="str">
        <f>T("   ZZZ_Monde")</f>
        <v xml:space="preserve">   ZZZ_Monde</v>
      </c>
      <c r="C1253">
        <v>13421800</v>
      </c>
      <c r="D1253">
        <v>60000</v>
      </c>
    </row>
    <row r="1254" spans="1:4" x14ac:dyDescent="0.25">
      <c r="A1254" t="str">
        <f>T("   SN")</f>
        <v xml:space="preserve">   SN</v>
      </c>
      <c r="B1254" t="str">
        <f>T("   Sénégal")</f>
        <v xml:space="preserve">   Sénégal</v>
      </c>
      <c r="C1254">
        <v>13421800</v>
      </c>
      <c r="D1254">
        <v>60000</v>
      </c>
    </row>
    <row r="1255" spans="1:4" x14ac:dyDescent="0.25">
      <c r="A1255" t="str">
        <f>T("842420")</f>
        <v>842420</v>
      </c>
      <c r="B1255" t="str">
        <f>T("PISTOLETS AÉROGRAPHES ET APPAREILS SIMIL. (À L'EXCL. DES MACHINES ET APPAREILS ÉLECTRIQUES POUR LA PROJECTION À CHAUD DE MÉTAUX OU DE CARBURES MÉTALLIQUES FRITTÉS [N¦ 8515] AINSI QUE DES MACHINES ET APPAREILS À JET DE SABLE, VAPEUR, ETC.) [01/01/1988-31/1")</f>
        <v>PISTOLETS AÉROGRAPHES ET APPAREILS SIMIL. (À L'EXCL. DES MACHINES ET APPAREILS ÉLECTRIQUES POUR LA PROJECTION À CHAUD DE MÉTAUX OU DE CARBURES MÉTALLIQUES FRITTÉS [N¦ 8515] AINSI QUE DES MACHINES ET APPAREILS À JET DE SABLE, VAPEUR, ETC.) [01/01/1988-31/1</v>
      </c>
    </row>
    <row r="1256" spans="1:4" x14ac:dyDescent="0.25">
      <c r="A1256" t="str">
        <f>T("   ZZZ_Monde")</f>
        <v xml:space="preserve">   ZZZ_Monde</v>
      </c>
      <c r="B1256" t="str">
        <f>T("   ZZZ_Monde")</f>
        <v xml:space="preserve">   ZZZ_Monde</v>
      </c>
      <c r="C1256">
        <v>2351616</v>
      </c>
      <c r="D1256">
        <v>178</v>
      </c>
    </row>
    <row r="1257" spans="1:4" x14ac:dyDescent="0.25">
      <c r="A1257" t="str">
        <f>T("   FR")</f>
        <v xml:space="preserve">   FR</v>
      </c>
      <c r="B1257" t="str">
        <f>T("   France")</f>
        <v xml:space="preserve">   France</v>
      </c>
      <c r="C1257">
        <v>2351616</v>
      </c>
      <c r="D1257">
        <v>178</v>
      </c>
    </row>
    <row r="1258" spans="1:4" x14ac:dyDescent="0.25">
      <c r="A1258" t="str">
        <f>T("842539")</f>
        <v>842539</v>
      </c>
      <c r="B1258"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259" spans="1:4" x14ac:dyDescent="0.25">
      <c r="A1259" t="str">
        <f>T("   ZZZ_Monde")</f>
        <v xml:space="preserve">   ZZZ_Monde</v>
      </c>
      <c r="B1259" t="str">
        <f>T("   ZZZ_Monde")</f>
        <v xml:space="preserve">   ZZZ_Monde</v>
      </c>
      <c r="C1259">
        <v>1350115</v>
      </c>
      <c r="D1259">
        <v>97</v>
      </c>
    </row>
    <row r="1260" spans="1:4" x14ac:dyDescent="0.25">
      <c r="A1260" t="str">
        <f>T("   CI")</f>
        <v xml:space="preserve">   CI</v>
      </c>
      <c r="B1260" t="str">
        <f>T("   Côte d'Ivoire")</f>
        <v xml:space="preserve">   Côte d'Ivoire</v>
      </c>
      <c r="C1260">
        <v>1350115</v>
      </c>
      <c r="D1260">
        <v>97</v>
      </c>
    </row>
    <row r="1261" spans="1:4" x14ac:dyDescent="0.25">
      <c r="A1261" t="str">
        <f>T("842549")</f>
        <v>842549</v>
      </c>
      <c r="B1261" t="str">
        <f>T("Crics et vérins, non hydrauliques")</f>
        <v>Crics et vérins, non hydrauliques</v>
      </c>
    </row>
    <row r="1262" spans="1:4" x14ac:dyDescent="0.25">
      <c r="A1262" t="str">
        <f>T("   ZZZ_Monde")</f>
        <v xml:space="preserve">   ZZZ_Monde</v>
      </c>
      <c r="B1262" t="str">
        <f>T("   ZZZ_Monde")</f>
        <v xml:space="preserve">   ZZZ_Monde</v>
      </c>
      <c r="C1262">
        <v>958700</v>
      </c>
      <c r="D1262">
        <v>170</v>
      </c>
    </row>
    <row r="1263" spans="1:4" x14ac:dyDescent="0.25">
      <c r="A1263" t="str">
        <f>T("   GH")</f>
        <v xml:space="preserve">   GH</v>
      </c>
      <c r="B1263" t="str">
        <f>T("   Ghana")</f>
        <v xml:space="preserve">   Ghana</v>
      </c>
      <c r="C1263">
        <v>958700</v>
      </c>
      <c r="D1263">
        <v>170</v>
      </c>
    </row>
    <row r="1264" spans="1:4" x14ac:dyDescent="0.25">
      <c r="A1264" t="str">
        <f>T("842630")</f>
        <v>842630</v>
      </c>
      <c r="B1264" t="str">
        <f>T("Grues sur portiques")</f>
        <v>Grues sur portiques</v>
      </c>
    </row>
    <row r="1265" spans="1:4" x14ac:dyDescent="0.25">
      <c r="A1265" t="str">
        <f>T("   ZZZ_Monde")</f>
        <v xml:space="preserve">   ZZZ_Monde</v>
      </c>
      <c r="B1265" t="str">
        <f>T("   ZZZ_Monde")</f>
        <v xml:space="preserve">   ZZZ_Monde</v>
      </c>
      <c r="C1265">
        <v>278293160</v>
      </c>
      <c r="D1265">
        <v>109650</v>
      </c>
    </row>
    <row r="1266" spans="1:4" x14ac:dyDescent="0.25">
      <c r="A1266" t="str">
        <f>T("   BF")</f>
        <v xml:space="preserve">   BF</v>
      </c>
      <c r="B1266" t="str">
        <f>T("   Burkina Faso")</f>
        <v xml:space="preserve">   Burkina Faso</v>
      </c>
      <c r="C1266">
        <v>66260650</v>
      </c>
      <c r="D1266">
        <v>41250</v>
      </c>
    </row>
    <row r="1267" spans="1:4" x14ac:dyDescent="0.25">
      <c r="A1267" t="str">
        <f>T("   TG")</f>
        <v xml:space="preserve">   TG</v>
      </c>
      <c r="B1267" t="str">
        <f>T("   Togo")</f>
        <v xml:space="preserve">   Togo</v>
      </c>
      <c r="C1267">
        <v>212032510</v>
      </c>
      <c r="D1267">
        <v>68400</v>
      </c>
    </row>
    <row r="1268" spans="1:4" x14ac:dyDescent="0.25">
      <c r="A1268" t="str">
        <f>T("842720")</f>
        <v>842720</v>
      </c>
      <c r="B1268" t="str">
        <f>T("Chariots de manutention autopropulsés, autres qu'à moteur électrique, avec dispositif de levage")</f>
        <v>Chariots de manutention autopropulsés, autres qu'à moteur électrique, avec dispositif de levage</v>
      </c>
    </row>
    <row r="1269" spans="1:4" x14ac:dyDescent="0.25">
      <c r="A1269" t="str">
        <f>T("   ZZZ_Monde")</f>
        <v xml:space="preserve">   ZZZ_Monde</v>
      </c>
      <c r="B1269" t="str">
        <f>T("   ZZZ_Monde")</f>
        <v xml:space="preserve">   ZZZ_Monde</v>
      </c>
      <c r="C1269">
        <v>23437050</v>
      </c>
      <c r="D1269">
        <v>13336</v>
      </c>
    </row>
    <row r="1270" spans="1:4" x14ac:dyDescent="0.25">
      <c r="A1270" t="str">
        <f>T("   CI")</f>
        <v xml:space="preserve">   CI</v>
      </c>
      <c r="B1270" t="str">
        <f>T("   Côte d'Ivoire")</f>
        <v xml:space="preserve">   Côte d'Ivoire</v>
      </c>
      <c r="C1270">
        <v>23437050</v>
      </c>
      <c r="D1270">
        <v>13336</v>
      </c>
    </row>
    <row r="1271" spans="1:4" x14ac:dyDescent="0.25">
      <c r="A1271" t="str">
        <f>T("842790")</f>
        <v>842790</v>
      </c>
      <c r="B1271" t="str">
        <f>T("Chariots de manutention munis d'un dispositif de levage mais non autopropulsés")</f>
        <v>Chariots de manutention munis d'un dispositif de levage mais non autopropulsés</v>
      </c>
    </row>
    <row r="1272" spans="1:4" x14ac:dyDescent="0.25">
      <c r="A1272" t="str">
        <f>T("   ZZZ_Monde")</f>
        <v xml:space="preserve">   ZZZ_Monde</v>
      </c>
      <c r="B1272" t="str">
        <f>T("   ZZZ_Monde")</f>
        <v xml:space="preserve">   ZZZ_Monde</v>
      </c>
      <c r="C1272">
        <v>10862698</v>
      </c>
      <c r="D1272">
        <v>3990</v>
      </c>
    </row>
    <row r="1273" spans="1:4" x14ac:dyDescent="0.25">
      <c r="A1273" t="str">
        <f>T("   CM")</f>
        <v xml:space="preserve">   CM</v>
      </c>
      <c r="B1273" t="str">
        <f>T("   Cameroun")</f>
        <v xml:space="preserve">   Cameroun</v>
      </c>
      <c r="C1273">
        <v>10862698</v>
      </c>
      <c r="D1273">
        <v>3990</v>
      </c>
    </row>
    <row r="1274" spans="1:4" x14ac:dyDescent="0.25">
      <c r="A1274" t="str">
        <f>T("842890")</f>
        <v>842890</v>
      </c>
      <c r="B1274" t="str">
        <f>T("Machines et appareils de levage, chargement, déchargement ou manutention, n.d.a.")</f>
        <v>Machines et appareils de levage, chargement, déchargement ou manutention, n.d.a.</v>
      </c>
    </row>
    <row r="1275" spans="1:4" x14ac:dyDescent="0.25">
      <c r="A1275" t="str">
        <f>T("   ZZZ_Monde")</f>
        <v xml:space="preserve">   ZZZ_Monde</v>
      </c>
      <c r="B1275" t="str">
        <f>T("   ZZZ_Monde")</f>
        <v xml:space="preserve">   ZZZ_Monde</v>
      </c>
      <c r="C1275">
        <v>4134028</v>
      </c>
      <c r="D1275">
        <v>24935</v>
      </c>
    </row>
    <row r="1276" spans="1:4" x14ac:dyDescent="0.25">
      <c r="A1276" t="str">
        <f>T("   NG")</f>
        <v xml:space="preserve">   NG</v>
      </c>
      <c r="B1276" t="str">
        <f>T("   Nigéria")</f>
        <v xml:space="preserve">   Nigéria</v>
      </c>
      <c r="C1276">
        <v>2634028</v>
      </c>
      <c r="D1276">
        <v>22000</v>
      </c>
    </row>
    <row r="1277" spans="1:4" x14ac:dyDescent="0.25">
      <c r="A1277" t="str">
        <f>T("   TG")</f>
        <v xml:space="preserve">   TG</v>
      </c>
      <c r="B1277" t="str">
        <f>T("   Togo")</f>
        <v xml:space="preserve">   Togo</v>
      </c>
      <c r="C1277">
        <v>1500000</v>
      </c>
      <c r="D1277">
        <v>2935</v>
      </c>
    </row>
    <row r="1278" spans="1:4" x14ac:dyDescent="0.25">
      <c r="A1278" t="str">
        <f>T("842911")</f>
        <v>842911</v>
      </c>
      <c r="B1278" t="str">
        <f>T("Bouteurs 'bulldozers' et bouteurs biais 'angledozers', à chenilles")</f>
        <v>Bouteurs 'bulldozers' et bouteurs biais 'angledozers', à chenilles</v>
      </c>
    </row>
    <row r="1279" spans="1:4" x14ac:dyDescent="0.25">
      <c r="A1279" t="str">
        <f>T("   ZZZ_Monde")</f>
        <v xml:space="preserve">   ZZZ_Monde</v>
      </c>
      <c r="B1279" t="str">
        <f>T("   ZZZ_Monde")</f>
        <v xml:space="preserve">   ZZZ_Monde</v>
      </c>
      <c r="C1279">
        <v>183976908</v>
      </c>
      <c r="D1279">
        <v>60393</v>
      </c>
    </row>
    <row r="1280" spans="1:4" x14ac:dyDescent="0.25">
      <c r="A1280" t="str">
        <f>T("   NG")</f>
        <v xml:space="preserve">   NG</v>
      </c>
      <c r="B1280" t="str">
        <f>T("   Nigéria")</f>
        <v xml:space="preserve">   Nigéria</v>
      </c>
      <c r="C1280">
        <v>183976908</v>
      </c>
      <c r="D1280">
        <v>60393</v>
      </c>
    </row>
    <row r="1281" spans="1:4" x14ac:dyDescent="0.25">
      <c r="A1281" t="str">
        <f>T("842919")</f>
        <v>842919</v>
      </c>
      <c r="B1281" t="str">
        <f>T("Bouteurs 'bulldozers' et bouteurs biais 'angledozers', sur roues")</f>
        <v>Bouteurs 'bulldozers' et bouteurs biais 'angledozers', sur roues</v>
      </c>
    </row>
    <row r="1282" spans="1:4" x14ac:dyDescent="0.25">
      <c r="A1282" t="str">
        <f>T("   ZZZ_Monde")</f>
        <v xml:space="preserve">   ZZZ_Monde</v>
      </c>
      <c r="B1282" t="str">
        <f>T("   ZZZ_Monde")</f>
        <v xml:space="preserve">   ZZZ_Monde</v>
      </c>
      <c r="C1282">
        <v>91302543</v>
      </c>
      <c r="D1282">
        <v>78586</v>
      </c>
    </row>
    <row r="1283" spans="1:4" x14ac:dyDescent="0.25">
      <c r="A1283" t="str">
        <f>T("   GA")</f>
        <v xml:space="preserve">   GA</v>
      </c>
      <c r="B1283" t="str">
        <f>T("   Gabon")</f>
        <v xml:space="preserve">   Gabon</v>
      </c>
      <c r="C1283">
        <v>3000000</v>
      </c>
      <c r="D1283">
        <v>25000</v>
      </c>
    </row>
    <row r="1284" spans="1:4" x14ac:dyDescent="0.25">
      <c r="A1284" t="str">
        <f>T("   GH")</f>
        <v xml:space="preserve">   GH</v>
      </c>
      <c r="B1284" t="str">
        <f>T("   Ghana")</f>
        <v xml:space="preserve">   Ghana</v>
      </c>
      <c r="C1284">
        <v>82238114</v>
      </c>
      <c r="D1284">
        <v>10886</v>
      </c>
    </row>
    <row r="1285" spans="1:4" x14ac:dyDescent="0.25">
      <c r="A1285" t="str">
        <f>T("   NG")</f>
        <v xml:space="preserve">   NG</v>
      </c>
      <c r="B1285" t="str">
        <f>T("   Nigéria")</f>
        <v xml:space="preserve">   Nigéria</v>
      </c>
      <c r="C1285">
        <v>6064429</v>
      </c>
      <c r="D1285">
        <v>42700</v>
      </c>
    </row>
    <row r="1286" spans="1:4" x14ac:dyDescent="0.25">
      <c r="A1286" t="str">
        <f>T("842920")</f>
        <v>842920</v>
      </c>
      <c r="B1286" t="str">
        <f>T("Niveleuses autopropulsées")</f>
        <v>Niveleuses autopropulsées</v>
      </c>
    </row>
    <row r="1287" spans="1:4" x14ac:dyDescent="0.25">
      <c r="A1287" t="str">
        <f>T("   ZZZ_Monde")</f>
        <v xml:space="preserve">   ZZZ_Monde</v>
      </c>
      <c r="B1287" t="str">
        <f>T("   ZZZ_Monde")</f>
        <v xml:space="preserve">   ZZZ_Monde</v>
      </c>
      <c r="C1287">
        <v>425347911</v>
      </c>
      <c r="D1287">
        <v>267507</v>
      </c>
    </row>
    <row r="1288" spans="1:4" x14ac:dyDescent="0.25">
      <c r="A1288" t="str">
        <f>T("   BF")</f>
        <v xml:space="preserve">   BF</v>
      </c>
      <c r="B1288" t="str">
        <f>T("   Burkina Faso")</f>
        <v xml:space="preserve">   Burkina Faso</v>
      </c>
      <c r="C1288">
        <v>12600000</v>
      </c>
      <c r="D1288">
        <v>9920</v>
      </c>
    </row>
    <row r="1289" spans="1:4" x14ac:dyDescent="0.25">
      <c r="A1289" t="str">
        <f>T("   GH")</f>
        <v xml:space="preserve">   GH</v>
      </c>
      <c r="B1289" t="str">
        <f>T("   Ghana")</f>
        <v xml:space="preserve">   Ghana</v>
      </c>
      <c r="C1289">
        <v>150915935</v>
      </c>
      <c r="D1289">
        <v>96576</v>
      </c>
    </row>
    <row r="1290" spans="1:4" x14ac:dyDescent="0.25">
      <c r="A1290" t="str">
        <f>T("   LB")</f>
        <v xml:space="preserve">   LB</v>
      </c>
      <c r="B1290" t="str">
        <f>T("   Liban")</f>
        <v xml:space="preserve">   Liban</v>
      </c>
      <c r="C1290">
        <v>8000000</v>
      </c>
      <c r="D1290">
        <v>59000</v>
      </c>
    </row>
    <row r="1291" spans="1:4" x14ac:dyDescent="0.25">
      <c r="A1291" t="str">
        <f>T("   NG")</f>
        <v xml:space="preserve">   NG</v>
      </c>
      <c r="B1291" t="str">
        <f>T("   Nigéria")</f>
        <v xml:space="preserve">   Nigéria</v>
      </c>
      <c r="C1291">
        <v>227831976</v>
      </c>
      <c r="D1291">
        <v>84011</v>
      </c>
    </row>
    <row r="1292" spans="1:4" x14ac:dyDescent="0.25">
      <c r="A1292" t="str">
        <f>T("   TG")</f>
        <v xml:space="preserve">   TG</v>
      </c>
      <c r="B1292" t="str">
        <f>T("   Togo")</f>
        <v xml:space="preserve">   Togo</v>
      </c>
      <c r="C1292">
        <v>26000000</v>
      </c>
      <c r="D1292">
        <v>18000</v>
      </c>
    </row>
    <row r="1293" spans="1:4" x14ac:dyDescent="0.25">
      <c r="A1293" t="str">
        <f>T("842940")</f>
        <v>842940</v>
      </c>
      <c r="B1293" t="str">
        <f>T("Rouleaux compresseurs et autres compacteuses, autopropulsés")</f>
        <v>Rouleaux compresseurs et autres compacteuses, autopropulsés</v>
      </c>
    </row>
    <row r="1294" spans="1:4" x14ac:dyDescent="0.25">
      <c r="A1294" t="str">
        <f>T("   ZZZ_Monde")</f>
        <v xml:space="preserve">   ZZZ_Monde</v>
      </c>
      <c r="B1294" t="str">
        <f>T("   ZZZ_Monde")</f>
        <v xml:space="preserve">   ZZZ_Monde</v>
      </c>
      <c r="C1294">
        <v>197321812</v>
      </c>
      <c r="D1294">
        <v>174835</v>
      </c>
    </row>
    <row r="1295" spans="1:4" x14ac:dyDescent="0.25">
      <c r="A1295" t="str">
        <f>T("   BF")</f>
        <v xml:space="preserve">   BF</v>
      </c>
      <c r="B1295" t="str">
        <f>T("   Burkina Faso")</f>
        <v xml:space="preserve">   Burkina Faso</v>
      </c>
      <c r="C1295">
        <v>9000000</v>
      </c>
      <c r="D1295">
        <v>17000</v>
      </c>
    </row>
    <row r="1296" spans="1:4" x14ac:dyDescent="0.25">
      <c r="A1296" t="str">
        <f>T("   GH")</f>
        <v xml:space="preserve">   GH</v>
      </c>
      <c r="B1296" t="str">
        <f>T("   Ghana")</f>
        <v xml:space="preserve">   Ghana</v>
      </c>
      <c r="C1296">
        <v>30468880</v>
      </c>
      <c r="D1296">
        <v>95000</v>
      </c>
    </row>
    <row r="1297" spans="1:4" x14ac:dyDescent="0.25">
      <c r="A1297" t="str">
        <f>T("   NG")</f>
        <v xml:space="preserve">   NG</v>
      </c>
      <c r="B1297" t="str">
        <f>T("   Nigéria")</f>
        <v xml:space="preserve">   Nigéria</v>
      </c>
      <c r="C1297">
        <v>46645740</v>
      </c>
      <c r="D1297">
        <v>25637</v>
      </c>
    </row>
    <row r="1298" spans="1:4" x14ac:dyDescent="0.25">
      <c r="A1298" t="str">
        <f>T("   TG")</f>
        <v xml:space="preserve">   TG</v>
      </c>
      <c r="B1298" t="str">
        <f>T("   Togo")</f>
        <v xml:space="preserve">   Togo</v>
      </c>
      <c r="C1298">
        <v>52797116</v>
      </c>
      <c r="D1298">
        <v>16712</v>
      </c>
    </row>
    <row r="1299" spans="1:4" x14ac:dyDescent="0.25">
      <c r="A1299" t="str">
        <f>T("   UG")</f>
        <v xml:space="preserve">   UG</v>
      </c>
      <c r="B1299" t="str">
        <f>T("   Ouganda")</f>
        <v xml:space="preserve">   Ouganda</v>
      </c>
      <c r="C1299">
        <v>58410076</v>
      </c>
      <c r="D1299">
        <v>20486</v>
      </c>
    </row>
    <row r="1300" spans="1:4" x14ac:dyDescent="0.25">
      <c r="A1300" t="str">
        <f>T("842951")</f>
        <v>842951</v>
      </c>
      <c r="B1300" t="str">
        <f>T("Chargeuses et chargeuses-pelleteuses, à chargement frontal, autopropulsées")</f>
        <v>Chargeuses et chargeuses-pelleteuses, à chargement frontal, autopropulsées</v>
      </c>
    </row>
    <row r="1301" spans="1:4" x14ac:dyDescent="0.25">
      <c r="A1301" t="str">
        <f>T("   ZZZ_Monde")</f>
        <v xml:space="preserve">   ZZZ_Monde</v>
      </c>
      <c r="B1301" t="str">
        <f>T("   ZZZ_Monde")</f>
        <v xml:space="preserve">   ZZZ_Monde</v>
      </c>
      <c r="C1301">
        <v>265401964</v>
      </c>
      <c r="D1301">
        <v>76395</v>
      </c>
    </row>
    <row r="1302" spans="1:4" x14ac:dyDescent="0.25">
      <c r="A1302" t="str">
        <f>T("   FR")</f>
        <v xml:space="preserve">   FR</v>
      </c>
      <c r="B1302" t="str">
        <f>T("   France")</f>
        <v xml:space="preserve">   France</v>
      </c>
      <c r="C1302">
        <v>163618727</v>
      </c>
      <c r="D1302">
        <v>43800</v>
      </c>
    </row>
    <row r="1303" spans="1:4" x14ac:dyDescent="0.25">
      <c r="A1303" t="str">
        <f>T("   GA")</f>
        <v xml:space="preserve">   GA</v>
      </c>
      <c r="B1303" t="str">
        <f>T("   Gabon")</f>
        <v xml:space="preserve">   Gabon</v>
      </c>
      <c r="C1303">
        <v>1700000</v>
      </c>
      <c r="D1303">
        <v>1200</v>
      </c>
    </row>
    <row r="1304" spans="1:4" x14ac:dyDescent="0.25">
      <c r="A1304" t="str">
        <f>T("   GH")</f>
        <v xml:space="preserve">   GH</v>
      </c>
      <c r="B1304" t="str">
        <f>T("   Ghana")</f>
        <v xml:space="preserve">   Ghana</v>
      </c>
      <c r="C1304">
        <v>100083237</v>
      </c>
      <c r="D1304">
        <v>31395</v>
      </c>
    </row>
    <row r="1305" spans="1:4" x14ac:dyDescent="0.25">
      <c r="A1305" t="str">
        <f>T("842959")</f>
        <v>842959</v>
      </c>
      <c r="B1305"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306" spans="1:4" x14ac:dyDescent="0.25">
      <c r="A1306" t="str">
        <f>T("   ZZZ_Monde")</f>
        <v xml:space="preserve">   ZZZ_Monde</v>
      </c>
      <c r="B1306" t="str">
        <f>T("   ZZZ_Monde")</f>
        <v xml:space="preserve">   ZZZ_Monde</v>
      </c>
      <c r="C1306">
        <v>311989003</v>
      </c>
      <c r="D1306">
        <v>277187</v>
      </c>
    </row>
    <row r="1307" spans="1:4" x14ac:dyDescent="0.25">
      <c r="A1307" t="str">
        <f>T("   BF")</f>
        <v xml:space="preserve">   BF</v>
      </c>
      <c r="B1307" t="str">
        <f>T("   Burkina Faso")</f>
        <v xml:space="preserve">   Burkina Faso</v>
      </c>
      <c r="C1307">
        <v>53563520</v>
      </c>
      <c r="D1307">
        <v>69433</v>
      </c>
    </row>
    <row r="1308" spans="1:4" x14ac:dyDescent="0.25">
      <c r="A1308" t="str">
        <f>T("   CI")</f>
        <v xml:space="preserve">   CI</v>
      </c>
      <c r="B1308" t="str">
        <f>T("   Côte d'Ivoire")</f>
        <v xml:space="preserve">   Côte d'Ivoire</v>
      </c>
      <c r="C1308">
        <v>24875000</v>
      </c>
      <c r="D1308">
        <v>25000</v>
      </c>
    </row>
    <row r="1309" spans="1:4" x14ac:dyDescent="0.25">
      <c r="A1309" t="str">
        <f>T("   GH")</f>
        <v xml:space="preserve">   GH</v>
      </c>
      <c r="B1309" t="str">
        <f>T("   Ghana")</f>
        <v xml:space="preserve">   Ghana</v>
      </c>
      <c r="C1309">
        <v>127319190</v>
      </c>
      <c r="D1309">
        <v>92800</v>
      </c>
    </row>
    <row r="1310" spans="1:4" x14ac:dyDescent="0.25">
      <c r="A1310" t="str">
        <f>T("   MA")</f>
        <v xml:space="preserve">   MA</v>
      </c>
      <c r="B1310" t="str">
        <f>T("   Maroc")</f>
        <v xml:space="preserve">   Maroc</v>
      </c>
      <c r="C1310">
        <v>75089709</v>
      </c>
      <c r="D1310">
        <v>49600</v>
      </c>
    </row>
    <row r="1311" spans="1:4" x14ac:dyDescent="0.25">
      <c r="A1311" t="str">
        <f>T("   NG")</f>
        <v xml:space="preserve">   NG</v>
      </c>
      <c r="B1311" t="str">
        <f>T("   Nigéria")</f>
        <v xml:space="preserve">   Nigéria</v>
      </c>
      <c r="C1311">
        <v>4141584</v>
      </c>
      <c r="D1311">
        <v>17354</v>
      </c>
    </row>
    <row r="1312" spans="1:4" x14ac:dyDescent="0.25">
      <c r="A1312" t="str">
        <f>T("   TG")</f>
        <v xml:space="preserve">   TG</v>
      </c>
      <c r="B1312" t="str">
        <f>T("   Togo")</f>
        <v xml:space="preserve">   Togo</v>
      </c>
      <c r="C1312">
        <v>27000000</v>
      </c>
      <c r="D1312">
        <v>23000</v>
      </c>
    </row>
    <row r="1313" spans="1:4" x14ac:dyDescent="0.25">
      <c r="A1313" t="str">
        <f>T("843049")</f>
        <v>843049</v>
      </c>
      <c r="B1313"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314" spans="1:4" x14ac:dyDescent="0.25">
      <c r="A1314" t="str">
        <f>T("   ZZZ_Monde")</f>
        <v xml:space="preserve">   ZZZ_Monde</v>
      </c>
      <c r="B1314" t="str">
        <f>T("   ZZZ_Monde")</f>
        <v xml:space="preserve">   ZZZ_Monde</v>
      </c>
      <c r="C1314">
        <v>400000000</v>
      </c>
      <c r="D1314">
        <v>50000</v>
      </c>
    </row>
    <row r="1315" spans="1:4" x14ac:dyDescent="0.25">
      <c r="A1315" t="str">
        <f>T("   CI")</f>
        <v xml:space="preserve">   CI</v>
      </c>
      <c r="B1315" t="str">
        <f>T("   Côte d'Ivoire")</f>
        <v xml:space="preserve">   Côte d'Ivoire</v>
      </c>
      <c r="C1315">
        <v>400000000</v>
      </c>
      <c r="D1315">
        <v>50000</v>
      </c>
    </row>
    <row r="1316" spans="1:4" x14ac:dyDescent="0.25">
      <c r="A1316" t="str">
        <f>T("843061")</f>
        <v>843061</v>
      </c>
      <c r="B1316" t="str">
        <f>T("Machines et appareils à tasser ou à compacter, non autopropulsés (sauf outillage pour emploi à la main)")</f>
        <v>Machines et appareils à tasser ou à compacter, non autopropulsés (sauf outillage pour emploi à la main)</v>
      </c>
    </row>
    <row r="1317" spans="1:4" x14ac:dyDescent="0.25">
      <c r="A1317" t="str">
        <f>T("   ZZZ_Monde")</f>
        <v xml:space="preserve">   ZZZ_Monde</v>
      </c>
      <c r="B1317" t="str">
        <f>T("   ZZZ_Monde")</f>
        <v xml:space="preserve">   ZZZ_Monde</v>
      </c>
      <c r="C1317">
        <v>20000000</v>
      </c>
      <c r="D1317">
        <v>45000</v>
      </c>
    </row>
    <row r="1318" spans="1:4" x14ac:dyDescent="0.25">
      <c r="A1318" t="str">
        <f>T("   NG")</f>
        <v xml:space="preserve">   NG</v>
      </c>
      <c r="B1318" t="str">
        <f>T("   Nigéria")</f>
        <v xml:space="preserve">   Nigéria</v>
      </c>
      <c r="C1318">
        <v>20000000</v>
      </c>
      <c r="D1318">
        <v>45000</v>
      </c>
    </row>
    <row r="1319" spans="1:4" x14ac:dyDescent="0.25">
      <c r="A1319" t="str">
        <f>T("843141")</f>
        <v>843141</v>
      </c>
      <c r="B1319" t="str">
        <f>T("Godets, bennes, bennes-preneuses, pelles, grappins et pinces pour machines et appareils du n° 8426, 8429 ou 8430")</f>
        <v>Godets, bennes, bennes-preneuses, pelles, grappins et pinces pour machines et appareils du n° 8426, 8429 ou 8430</v>
      </c>
    </row>
    <row r="1320" spans="1:4" x14ac:dyDescent="0.25">
      <c r="A1320" t="str">
        <f>T("   ZZZ_Monde")</f>
        <v xml:space="preserve">   ZZZ_Monde</v>
      </c>
      <c r="B1320" t="str">
        <f>T("   ZZZ_Monde")</f>
        <v xml:space="preserve">   ZZZ_Monde</v>
      </c>
      <c r="C1320">
        <v>369201</v>
      </c>
      <c r="D1320">
        <v>26</v>
      </c>
    </row>
    <row r="1321" spans="1:4" x14ac:dyDescent="0.25">
      <c r="A1321" t="str">
        <f>T("   CI")</f>
        <v xml:space="preserve">   CI</v>
      </c>
      <c r="B1321" t="str">
        <f>T("   Côte d'Ivoire")</f>
        <v xml:space="preserve">   Côte d'Ivoire</v>
      </c>
      <c r="C1321">
        <v>369201</v>
      </c>
      <c r="D1321">
        <v>26</v>
      </c>
    </row>
    <row r="1322" spans="1:4" x14ac:dyDescent="0.25">
      <c r="A1322" t="str">
        <f>T("843149")</f>
        <v>843149</v>
      </c>
      <c r="B1322" t="str">
        <f>T("Parties de machines et appareils du n° 8426, 8429 ou 8430, n.d.a.")</f>
        <v>Parties de machines et appareils du n° 8426, 8429 ou 8430, n.d.a.</v>
      </c>
    </row>
    <row r="1323" spans="1:4" x14ac:dyDescent="0.25">
      <c r="A1323" t="str">
        <f>T("   ZZZ_Monde")</f>
        <v xml:space="preserve">   ZZZ_Monde</v>
      </c>
      <c r="B1323" t="str">
        <f>T("   ZZZ_Monde")</f>
        <v xml:space="preserve">   ZZZ_Monde</v>
      </c>
      <c r="C1323">
        <v>165849094</v>
      </c>
      <c r="D1323">
        <v>116452</v>
      </c>
    </row>
    <row r="1324" spans="1:4" x14ac:dyDescent="0.25">
      <c r="A1324" t="str">
        <f>T("   AU")</f>
        <v xml:space="preserve">   AU</v>
      </c>
      <c r="B1324" t="str">
        <f>T("   Australie")</f>
        <v xml:space="preserve">   Australie</v>
      </c>
      <c r="C1324">
        <v>3000000</v>
      </c>
      <c r="D1324">
        <v>5000</v>
      </c>
    </row>
    <row r="1325" spans="1:4" x14ac:dyDescent="0.25">
      <c r="A1325" t="str">
        <f>T("   BE")</f>
        <v xml:space="preserve">   BE</v>
      </c>
      <c r="B1325" t="str">
        <f>T("   Belgique")</f>
        <v xml:space="preserve">   Belgique</v>
      </c>
      <c r="C1325">
        <v>41976355</v>
      </c>
      <c r="D1325">
        <v>26840</v>
      </c>
    </row>
    <row r="1326" spans="1:4" x14ac:dyDescent="0.25">
      <c r="A1326" t="str">
        <f>T("   LB")</f>
        <v xml:space="preserve">   LB</v>
      </c>
      <c r="B1326" t="str">
        <f>T("   Liban")</f>
        <v xml:space="preserve">   Liban</v>
      </c>
      <c r="C1326">
        <v>3000000</v>
      </c>
      <c r="D1326">
        <v>15000</v>
      </c>
    </row>
    <row r="1327" spans="1:4" x14ac:dyDescent="0.25">
      <c r="A1327" t="str">
        <f>T("   NL")</f>
        <v xml:space="preserve">   NL</v>
      </c>
      <c r="B1327" t="str">
        <f>T("   Pays-bas")</f>
        <v xml:space="preserve">   Pays-bas</v>
      </c>
      <c r="C1327">
        <v>15000000</v>
      </c>
      <c r="D1327">
        <v>20000</v>
      </c>
    </row>
    <row r="1328" spans="1:4" x14ac:dyDescent="0.25">
      <c r="A1328" t="str">
        <f>T("   TG")</f>
        <v xml:space="preserve">   TG</v>
      </c>
      <c r="B1328" t="str">
        <f>T("   Togo")</f>
        <v xml:space="preserve">   Togo</v>
      </c>
      <c r="C1328">
        <v>102872739</v>
      </c>
      <c r="D1328">
        <v>49612</v>
      </c>
    </row>
    <row r="1329" spans="1:4" x14ac:dyDescent="0.25">
      <c r="A1329" t="str">
        <f>T("843290")</f>
        <v>843290</v>
      </c>
      <c r="B1329" t="str">
        <f>T("Parties de machines, appareils et engins agricoles, sylvicoles ou horticoles pour la préparation ou le travail du sol ou pour la culture, ainsi que de rouleaux pour pelouses ou terrains de sport, n.d.a.")</f>
        <v>Parties de machines, appareils et engins agricoles, sylvicoles ou horticoles pour la préparation ou le travail du sol ou pour la culture, ainsi que de rouleaux pour pelouses ou terrains de sport, n.d.a.</v>
      </c>
    </row>
    <row r="1330" spans="1:4" x14ac:dyDescent="0.25">
      <c r="A1330" t="str">
        <f>T("   ZZZ_Monde")</f>
        <v xml:space="preserve">   ZZZ_Monde</v>
      </c>
      <c r="B1330" t="str">
        <f>T("   ZZZ_Monde")</f>
        <v xml:space="preserve">   ZZZ_Monde</v>
      </c>
      <c r="C1330">
        <v>4525000</v>
      </c>
      <c r="D1330">
        <v>15000</v>
      </c>
    </row>
    <row r="1331" spans="1:4" x14ac:dyDescent="0.25">
      <c r="A1331" t="str">
        <f>T("   DE")</f>
        <v xml:space="preserve">   DE</v>
      </c>
      <c r="B1331" t="str">
        <f>T("   Allemagne")</f>
        <v xml:space="preserve">   Allemagne</v>
      </c>
      <c r="C1331">
        <v>4525000</v>
      </c>
      <c r="D1331">
        <v>15000</v>
      </c>
    </row>
    <row r="1332" spans="1:4" x14ac:dyDescent="0.25">
      <c r="A1332" t="str">
        <f>T("843880")</f>
        <v>843880</v>
      </c>
      <c r="B1332" t="str">
        <f>T("Machines et appareils pour la préparation ou la fabrication industrielles d'aliments ou de boissons, n.d.a.")</f>
        <v>Machines et appareils pour la préparation ou la fabrication industrielles d'aliments ou de boissons, n.d.a.</v>
      </c>
    </row>
    <row r="1333" spans="1:4" x14ac:dyDescent="0.25">
      <c r="A1333" t="str">
        <f>T("   ZZZ_Monde")</f>
        <v xml:space="preserve">   ZZZ_Monde</v>
      </c>
      <c r="B1333" t="str">
        <f>T("   ZZZ_Monde")</f>
        <v xml:space="preserve">   ZZZ_Monde</v>
      </c>
      <c r="C1333">
        <v>4000000</v>
      </c>
      <c r="D1333">
        <v>20000</v>
      </c>
    </row>
    <row r="1334" spans="1:4" x14ac:dyDescent="0.25">
      <c r="A1334" t="str">
        <f>T("   SO")</f>
        <v xml:space="preserve">   SO</v>
      </c>
      <c r="B1334" t="str">
        <f>T("   Somalie")</f>
        <v xml:space="preserve">   Somalie</v>
      </c>
      <c r="C1334">
        <v>4000000</v>
      </c>
      <c r="D1334">
        <v>20000</v>
      </c>
    </row>
    <row r="1335" spans="1:4" x14ac:dyDescent="0.25">
      <c r="A1335" t="str">
        <f>T("844319")</f>
        <v>844319</v>
      </c>
      <c r="B1335" t="str">
        <f>T("MACHINES ET APPAREILS SERVANT À L'IMPRESSION AU MOYEN DE PLANCHES, CYLINDRES ET AUTRES ORGANES IMPRIMANTS DU N° 8442 (À L'EXCL. DES DUPLICATEURS HECTOGRAPHIQUES OU À STENCILS, DES MACHINES À IMPRIMER LES ADRESSES ET AUTRES MACHINES DE BUREAU À IMPRIMER DU")</f>
        <v>MACHINES ET APPAREILS SERVANT À L'IMPRESSION AU MOYEN DE PLANCHES, CYLINDRES ET AUTRES ORGANES IMPRIMANTS DU N° 8442 (À L'EXCL. DES DUPLICATEURS HECTOGRAPHIQUES OU À STENCILS, DES MACHINES À IMPRIMER LES ADRESSES ET AUTRES MACHINES DE BUREAU À IMPRIMER DU</v>
      </c>
    </row>
    <row r="1336" spans="1:4" x14ac:dyDescent="0.25">
      <c r="A1336" t="str">
        <f>T("   ZZZ_Monde")</f>
        <v xml:space="preserve">   ZZZ_Monde</v>
      </c>
      <c r="B1336" t="str">
        <f>T("   ZZZ_Monde")</f>
        <v xml:space="preserve">   ZZZ_Monde</v>
      </c>
      <c r="C1336">
        <v>2000000</v>
      </c>
      <c r="D1336">
        <v>820</v>
      </c>
    </row>
    <row r="1337" spans="1:4" x14ac:dyDescent="0.25">
      <c r="A1337" t="str">
        <f>T("   GH")</f>
        <v xml:space="preserve">   GH</v>
      </c>
      <c r="B1337" t="str">
        <f>T("   Ghana")</f>
        <v xml:space="preserve">   Ghana</v>
      </c>
      <c r="C1337">
        <v>2000000</v>
      </c>
      <c r="D1337">
        <v>820</v>
      </c>
    </row>
    <row r="1338" spans="1:4" x14ac:dyDescent="0.25">
      <c r="A1338" t="str">
        <f>T("844359")</f>
        <v>844359</v>
      </c>
      <c r="B1338"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339" spans="1:4" x14ac:dyDescent="0.25">
      <c r="A1339" t="str">
        <f>T("   ZZZ_Monde")</f>
        <v xml:space="preserve">   ZZZ_Monde</v>
      </c>
      <c r="B1339" t="str">
        <f>T("   ZZZ_Monde")</f>
        <v xml:space="preserve">   ZZZ_Monde</v>
      </c>
      <c r="C1339">
        <v>650000</v>
      </c>
      <c r="D1339">
        <v>800</v>
      </c>
    </row>
    <row r="1340" spans="1:4" x14ac:dyDescent="0.25">
      <c r="A1340" t="str">
        <f>T("   GN")</f>
        <v xml:space="preserve">   GN</v>
      </c>
      <c r="B1340" t="str">
        <f>T("   Guinée")</f>
        <v xml:space="preserve">   Guinée</v>
      </c>
      <c r="C1340">
        <v>650000</v>
      </c>
      <c r="D1340">
        <v>800</v>
      </c>
    </row>
    <row r="1341" spans="1:4" x14ac:dyDescent="0.25">
      <c r="A1341" t="str">
        <f>T("845929")</f>
        <v>845929</v>
      </c>
      <c r="B1341" t="str">
        <f>T("MACHINES À PERCER, POUR LE TRAVAIL DES MÉTAUX (À L'EXCL. DES MACHINES À COMMANDE NUMÉRIQUE, DES UNITÉS D'USINAGE À GLISSIÈRES ET DES MACHINES MUES À LA MAIN) [01/01/1988-31/12/1994: MACHINES A PERCER LES METAUX PAR ENLEVEMENT DE MATIÈRES (AUTRES QU'A COMM")</f>
        <v>MACHINES À PERCER, POUR LE TRAVAIL DES MÉTAUX (À L'EXCL. DES MACHINES À COMMANDE NUMÉRIQUE, DES UNITÉS D'USINAGE À GLISSIÈRES ET DES MACHINES MUES À LA MAIN) [01/01/1988-31/12/1994: MACHINES A PERCER LES METAUX PAR ENLEVEMENT DE MATIÈRES (AUTRES QU'A COMM</v>
      </c>
    </row>
    <row r="1342" spans="1:4" x14ac:dyDescent="0.25">
      <c r="A1342" t="str">
        <f>T("   ZZZ_Monde")</f>
        <v xml:space="preserve">   ZZZ_Monde</v>
      </c>
      <c r="B1342" t="str">
        <f>T("   ZZZ_Monde")</f>
        <v xml:space="preserve">   ZZZ_Monde</v>
      </c>
      <c r="C1342">
        <v>7358000</v>
      </c>
      <c r="D1342">
        <v>10000</v>
      </c>
    </row>
    <row r="1343" spans="1:4" x14ac:dyDescent="0.25">
      <c r="A1343" t="str">
        <f>T("   GH")</f>
        <v xml:space="preserve">   GH</v>
      </c>
      <c r="B1343" t="str">
        <f>T("   Ghana")</f>
        <v xml:space="preserve">   Ghana</v>
      </c>
      <c r="C1343">
        <v>7358000</v>
      </c>
      <c r="D1343">
        <v>10000</v>
      </c>
    </row>
    <row r="1344" spans="1:4" x14ac:dyDescent="0.25">
      <c r="A1344" t="str">
        <f>T("846592")</f>
        <v>846592</v>
      </c>
      <c r="B1344" t="str">
        <f>T("Machines à dégauchir ou à raboter; machines à fraiser ou à moulurer, pour le travail du bois, des matières plastiques dures, etc. (autres que les machines pour emploi à la main et les machines pouvant effectuer différents types d'opérations d'usinage sans")</f>
        <v>Machines à dégauchir ou à raboter; machines à fraiser ou à moulurer, pour le travail du bois, des matières plastiques dures, etc. (autres que les machines pour emploi à la main et les machines pouvant effectuer différents types d'opérations d'usinage sans</v>
      </c>
    </row>
    <row r="1345" spans="1:4" x14ac:dyDescent="0.25">
      <c r="A1345" t="str">
        <f>T("   ZZZ_Monde")</f>
        <v xml:space="preserve">   ZZZ_Monde</v>
      </c>
      <c r="B1345" t="str">
        <f>T("   ZZZ_Monde")</f>
        <v xml:space="preserve">   ZZZ_Monde</v>
      </c>
      <c r="C1345">
        <v>8200000</v>
      </c>
      <c r="D1345">
        <v>30000</v>
      </c>
    </row>
    <row r="1346" spans="1:4" x14ac:dyDescent="0.25">
      <c r="A1346" t="str">
        <f>T("   GQ")</f>
        <v xml:space="preserve">   GQ</v>
      </c>
      <c r="B1346" t="str">
        <f>T("   Guinée Equatoriale")</f>
        <v xml:space="preserve">   Guinée Equatoriale</v>
      </c>
      <c r="C1346">
        <v>8200000</v>
      </c>
      <c r="D1346">
        <v>30000</v>
      </c>
    </row>
    <row r="1347" spans="1:4" x14ac:dyDescent="0.25">
      <c r="A1347" t="str">
        <f>T("846719")</f>
        <v>846719</v>
      </c>
      <c r="B1347"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348" spans="1:4" x14ac:dyDescent="0.25">
      <c r="A1348" t="str">
        <f>T("   ZZZ_Monde")</f>
        <v xml:space="preserve">   ZZZ_Monde</v>
      </c>
      <c r="B1348" t="str">
        <f>T("   ZZZ_Monde")</f>
        <v xml:space="preserve">   ZZZ_Monde</v>
      </c>
      <c r="C1348">
        <v>966796</v>
      </c>
      <c r="D1348">
        <v>69</v>
      </c>
    </row>
    <row r="1349" spans="1:4" x14ac:dyDescent="0.25">
      <c r="A1349" t="str">
        <f>T("   CI")</f>
        <v xml:space="preserve">   CI</v>
      </c>
      <c r="B1349" t="str">
        <f>T("   Côte d'Ivoire")</f>
        <v xml:space="preserve">   Côte d'Ivoire</v>
      </c>
      <c r="C1349">
        <v>966796</v>
      </c>
      <c r="D1349">
        <v>69</v>
      </c>
    </row>
    <row r="1350" spans="1:4" x14ac:dyDescent="0.25">
      <c r="A1350" t="str">
        <f>T("846799")</f>
        <v>846799</v>
      </c>
      <c r="B1350" t="str">
        <f>T("Parties d'outils pour emploi à la main, hydrauliques ou à moteur électrique ou non électrique incorporé, n.d.a.")</f>
        <v>Parties d'outils pour emploi à la main, hydrauliques ou à moteur électrique ou non électrique incorporé, n.d.a.</v>
      </c>
    </row>
    <row r="1351" spans="1:4" x14ac:dyDescent="0.25">
      <c r="A1351" t="str">
        <f>T("   ZZZ_Monde")</f>
        <v xml:space="preserve">   ZZZ_Monde</v>
      </c>
      <c r="B1351" t="str">
        <f>T("   ZZZ_Monde")</f>
        <v xml:space="preserve">   ZZZ_Monde</v>
      </c>
      <c r="C1351">
        <v>5110584</v>
      </c>
      <c r="D1351">
        <v>387</v>
      </c>
    </row>
    <row r="1352" spans="1:4" x14ac:dyDescent="0.25">
      <c r="A1352" t="str">
        <f>T("   FR")</f>
        <v xml:space="preserve">   FR</v>
      </c>
      <c r="B1352" t="str">
        <f>T("   France")</f>
        <v xml:space="preserve">   France</v>
      </c>
      <c r="C1352">
        <v>5110584</v>
      </c>
      <c r="D1352">
        <v>387</v>
      </c>
    </row>
    <row r="1353" spans="1:4" x14ac:dyDescent="0.25">
      <c r="A1353" t="str">
        <f>T("846810")</f>
        <v>846810</v>
      </c>
      <c r="B1353" t="str">
        <f>T("Chalumeaux guidés à la main pour le brasage ou le soudage aux gaz")</f>
        <v>Chalumeaux guidés à la main pour le brasage ou le soudage aux gaz</v>
      </c>
    </row>
    <row r="1354" spans="1:4" x14ac:dyDescent="0.25">
      <c r="A1354" t="str">
        <f>T("   ZZZ_Monde")</f>
        <v xml:space="preserve">   ZZZ_Monde</v>
      </c>
      <c r="B1354" t="str">
        <f>T("   ZZZ_Monde")</f>
        <v xml:space="preserve">   ZZZ_Monde</v>
      </c>
      <c r="C1354">
        <v>385911</v>
      </c>
      <c r="D1354">
        <v>28</v>
      </c>
    </row>
    <row r="1355" spans="1:4" x14ac:dyDescent="0.25">
      <c r="A1355" t="str">
        <f>T("   CI")</f>
        <v xml:space="preserve">   CI</v>
      </c>
      <c r="B1355" t="str">
        <f>T("   Côte d'Ivoire")</f>
        <v xml:space="preserve">   Côte d'Ivoire</v>
      </c>
      <c r="C1355">
        <v>385911</v>
      </c>
      <c r="D1355">
        <v>28</v>
      </c>
    </row>
    <row r="1356" spans="1:4" x14ac:dyDescent="0.25">
      <c r="A1356" t="str">
        <f>T("847110")</f>
        <v>847110</v>
      </c>
      <c r="B1356" t="str">
        <f>T("Machines automatiques de traitement de l'information, analogiques ou hybrides")</f>
        <v>Machines automatiques de traitement de l'information, analogiques ou hybrides</v>
      </c>
    </row>
    <row r="1357" spans="1:4" x14ac:dyDescent="0.25">
      <c r="A1357" t="str">
        <f>T("   ZZZ_Monde")</f>
        <v xml:space="preserve">   ZZZ_Monde</v>
      </c>
      <c r="B1357" t="str">
        <f>T("   ZZZ_Monde")</f>
        <v xml:space="preserve">   ZZZ_Monde</v>
      </c>
      <c r="C1357">
        <v>6947929</v>
      </c>
      <c r="D1357">
        <v>140</v>
      </c>
    </row>
    <row r="1358" spans="1:4" x14ac:dyDescent="0.25">
      <c r="A1358" t="str">
        <f>T("   CH")</f>
        <v xml:space="preserve">   CH</v>
      </c>
      <c r="B1358" t="str">
        <f>T("   Suisse")</f>
        <v xml:space="preserve">   Suisse</v>
      </c>
      <c r="C1358">
        <v>6403482</v>
      </c>
      <c r="D1358">
        <v>80</v>
      </c>
    </row>
    <row r="1359" spans="1:4" x14ac:dyDescent="0.25">
      <c r="A1359" t="str">
        <f>T("   GH")</f>
        <v xml:space="preserve">   GH</v>
      </c>
      <c r="B1359" t="str">
        <f>T("   Ghana")</f>
        <v xml:space="preserve">   Ghana</v>
      </c>
      <c r="C1359">
        <v>544447</v>
      </c>
      <c r="D1359">
        <v>60</v>
      </c>
    </row>
    <row r="1360" spans="1:4" x14ac:dyDescent="0.25">
      <c r="A1360" t="str">
        <f>T("847290")</f>
        <v>847290</v>
      </c>
      <c r="B1360" t="str">
        <f>T("Machines et appareils de bureau, n.d.a.")</f>
        <v>Machines et appareils de bureau, n.d.a.</v>
      </c>
    </row>
    <row r="1361" spans="1:4" x14ac:dyDescent="0.25">
      <c r="A1361" t="str">
        <f>T("   ZZZ_Monde")</f>
        <v xml:space="preserve">   ZZZ_Monde</v>
      </c>
      <c r="B1361" t="str">
        <f>T("   ZZZ_Monde")</f>
        <v xml:space="preserve">   ZZZ_Monde</v>
      </c>
      <c r="C1361">
        <v>1500000</v>
      </c>
      <c r="D1361">
        <v>190</v>
      </c>
    </row>
    <row r="1362" spans="1:4" x14ac:dyDescent="0.25">
      <c r="A1362" t="str">
        <f>T("   BF")</f>
        <v xml:space="preserve">   BF</v>
      </c>
      <c r="B1362" t="str">
        <f>T("   Burkina Faso")</f>
        <v xml:space="preserve">   Burkina Faso</v>
      </c>
      <c r="C1362">
        <v>1500000</v>
      </c>
      <c r="D1362">
        <v>190</v>
      </c>
    </row>
    <row r="1363" spans="1:4" x14ac:dyDescent="0.25">
      <c r="A1363" t="str">
        <f>T("847410")</f>
        <v>847410</v>
      </c>
      <c r="B1363"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364" spans="1:4" x14ac:dyDescent="0.25">
      <c r="A1364" t="str">
        <f>T("   ZZZ_Monde")</f>
        <v xml:space="preserve">   ZZZ_Monde</v>
      </c>
      <c r="B1364" t="str">
        <f>T("   ZZZ_Monde")</f>
        <v xml:space="preserve">   ZZZ_Monde</v>
      </c>
      <c r="C1364">
        <v>1198375</v>
      </c>
      <c r="D1364">
        <v>4000</v>
      </c>
    </row>
    <row r="1365" spans="1:4" x14ac:dyDescent="0.25">
      <c r="A1365" t="str">
        <f>T("   GH")</f>
        <v xml:space="preserve">   GH</v>
      </c>
      <c r="B1365" t="str">
        <f>T("   Ghana")</f>
        <v xml:space="preserve">   Ghana</v>
      </c>
      <c r="C1365">
        <v>1198375</v>
      </c>
      <c r="D1365">
        <v>4000</v>
      </c>
    </row>
    <row r="1366" spans="1:4" x14ac:dyDescent="0.25">
      <c r="A1366" t="str">
        <f>T("847420")</f>
        <v>847420</v>
      </c>
      <c r="B1366" t="str">
        <f>T("Machines et appareils à concasser, broyer ou pulvériser les matières minérales solides")</f>
        <v>Machines et appareils à concasser, broyer ou pulvériser les matières minérales solides</v>
      </c>
    </row>
    <row r="1367" spans="1:4" x14ac:dyDescent="0.25">
      <c r="A1367" t="str">
        <f>T("   ZZZ_Monde")</f>
        <v xml:space="preserve">   ZZZ_Monde</v>
      </c>
      <c r="B1367" t="str">
        <f>T("   ZZZ_Monde")</f>
        <v xml:space="preserve">   ZZZ_Monde</v>
      </c>
      <c r="C1367">
        <v>13415537</v>
      </c>
      <c r="D1367">
        <v>7307</v>
      </c>
    </row>
    <row r="1368" spans="1:4" x14ac:dyDescent="0.25">
      <c r="A1368" t="str">
        <f>T("   UG")</f>
        <v xml:space="preserve">   UG</v>
      </c>
      <c r="B1368" t="str">
        <f>T("   Ouganda")</f>
        <v xml:space="preserve">   Ouganda</v>
      </c>
      <c r="C1368">
        <v>13415537</v>
      </c>
      <c r="D1368">
        <v>7307</v>
      </c>
    </row>
    <row r="1369" spans="1:4" x14ac:dyDescent="0.25">
      <c r="A1369" t="str">
        <f>T("847431")</f>
        <v>847431</v>
      </c>
      <c r="B1369"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370" spans="1:4" x14ac:dyDescent="0.25">
      <c r="A1370" t="str">
        <f>T("   ZZZ_Monde")</f>
        <v xml:space="preserve">   ZZZ_Monde</v>
      </c>
      <c r="B1370" t="str">
        <f>T("   ZZZ_Monde")</f>
        <v xml:space="preserve">   ZZZ_Monde</v>
      </c>
      <c r="C1370">
        <v>4707050</v>
      </c>
      <c r="D1370">
        <v>10500</v>
      </c>
    </row>
    <row r="1371" spans="1:4" x14ac:dyDescent="0.25">
      <c r="A1371" t="str">
        <f>T("   NE")</f>
        <v xml:space="preserve">   NE</v>
      </c>
      <c r="B1371" t="str">
        <f>T("   Niger")</f>
        <v xml:space="preserve">   Niger</v>
      </c>
      <c r="C1371">
        <v>4707050</v>
      </c>
      <c r="D1371">
        <v>10500</v>
      </c>
    </row>
    <row r="1372" spans="1:4" x14ac:dyDescent="0.25">
      <c r="A1372" t="str">
        <f>T("847439")</f>
        <v>847439</v>
      </c>
      <c r="B1372"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373" spans="1:4" x14ac:dyDescent="0.25">
      <c r="A1373" t="str">
        <f>T("   ZZZ_Monde")</f>
        <v xml:space="preserve">   ZZZ_Monde</v>
      </c>
      <c r="B1373" t="str">
        <f>T("   ZZZ_Monde")</f>
        <v xml:space="preserve">   ZZZ_Monde</v>
      </c>
      <c r="C1373">
        <v>20215000</v>
      </c>
      <c r="D1373">
        <v>77341</v>
      </c>
    </row>
    <row r="1374" spans="1:4" x14ac:dyDescent="0.25">
      <c r="A1374" t="str">
        <f>T("   CI")</f>
        <v xml:space="preserve">   CI</v>
      </c>
      <c r="B1374" t="str">
        <f>T("   Côte d'Ivoire")</f>
        <v xml:space="preserve">   Côte d'Ivoire</v>
      </c>
      <c r="C1374">
        <v>625000</v>
      </c>
      <c r="D1374">
        <v>3000</v>
      </c>
    </row>
    <row r="1375" spans="1:4" x14ac:dyDescent="0.25">
      <c r="A1375" t="str">
        <f>T("   MR")</f>
        <v xml:space="preserve">   MR</v>
      </c>
      <c r="B1375" t="str">
        <f>T("   Mauritanie")</f>
        <v xml:space="preserve">   Mauritanie</v>
      </c>
      <c r="C1375">
        <v>14000000</v>
      </c>
      <c r="D1375">
        <v>20500</v>
      </c>
    </row>
    <row r="1376" spans="1:4" x14ac:dyDescent="0.25">
      <c r="A1376" t="str">
        <f>T("   NE")</f>
        <v xml:space="preserve">   NE</v>
      </c>
      <c r="B1376" t="str">
        <f>T("   Niger")</f>
        <v xml:space="preserve">   Niger</v>
      </c>
      <c r="C1376">
        <v>5590000</v>
      </c>
      <c r="D1376">
        <v>53841</v>
      </c>
    </row>
    <row r="1377" spans="1:4" x14ac:dyDescent="0.25">
      <c r="A1377" t="str">
        <f>T("847490")</f>
        <v>847490</v>
      </c>
      <c r="B1377" t="str">
        <f>T("Parties des machines et appareils pour le travail des matières minérales du n° 8474, n.d.a.")</f>
        <v>Parties des machines et appareils pour le travail des matières minérales du n° 8474, n.d.a.</v>
      </c>
    </row>
    <row r="1378" spans="1:4" x14ac:dyDescent="0.25">
      <c r="A1378" t="str">
        <f>T("   ZZZ_Monde")</f>
        <v xml:space="preserve">   ZZZ_Monde</v>
      </c>
      <c r="B1378" t="str">
        <f>T("   ZZZ_Monde")</f>
        <v xml:space="preserve">   ZZZ_Monde</v>
      </c>
      <c r="C1378">
        <v>4753635</v>
      </c>
      <c r="D1378">
        <v>19227</v>
      </c>
    </row>
    <row r="1379" spans="1:4" x14ac:dyDescent="0.25">
      <c r="A1379" t="str">
        <f>T("   NG")</f>
        <v xml:space="preserve">   NG</v>
      </c>
      <c r="B1379" t="str">
        <f>T("   Nigéria")</f>
        <v xml:space="preserve">   Nigéria</v>
      </c>
      <c r="C1379">
        <v>2636425</v>
      </c>
      <c r="D1379">
        <v>18000</v>
      </c>
    </row>
    <row r="1380" spans="1:4" x14ac:dyDescent="0.25">
      <c r="A1380" t="str">
        <f>T("   UG")</f>
        <v xml:space="preserve">   UG</v>
      </c>
      <c r="B1380" t="str">
        <f>T("   Ouganda")</f>
        <v xml:space="preserve">   Ouganda</v>
      </c>
      <c r="C1380">
        <v>2117210</v>
      </c>
      <c r="D1380">
        <v>1227</v>
      </c>
    </row>
    <row r="1381" spans="1:4" x14ac:dyDescent="0.25">
      <c r="A1381" t="str">
        <f>T("847910")</f>
        <v>847910</v>
      </c>
      <c r="B1381" t="str">
        <f>T("Machines et appareils pour les travaux publics, le bâtiment ou les travaux analogues, n.d.a.")</f>
        <v>Machines et appareils pour les travaux publics, le bâtiment ou les travaux analogues, n.d.a.</v>
      </c>
    </row>
    <row r="1382" spans="1:4" x14ac:dyDescent="0.25">
      <c r="A1382" t="str">
        <f>T("   ZZZ_Monde")</f>
        <v xml:space="preserve">   ZZZ_Monde</v>
      </c>
      <c r="B1382" t="str">
        <f>T("   ZZZ_Monde")</f>
        <v xml:space="preserve">   ZZZ_Monde</v>
      </c>
      <c r="C1382">
        <v>140510428</v>
      </c>
      <c r="D1382">
        <v>37300</v>
      </c>
    </row>
    <row r="1383" spans="1:4" x14ac:dyDescent="0.25">
      <c r="A1383" t="str">
        <f>T("   KE")</f>
        <v xml:space="preserve">   KE</v>
      </c>
      <c r="B1383" t="str">
        <f>T("   Kenya")</f>
        <v xml:space="preserve">   Kenya</v>
      </c>
      <c r="C1383">
        <v>21314240</v>
      </c>
      <c r="D1383">
        <v>2300</v>
      </c>
    </row>
    <row r="1384" spans="1:4" x14ac:dyDescent="0.25">
      <c r="A1384" t="str">
        <f>T("   NE")</f>
        <v xml:space="preserve">   NE</v>
      </c>
      <c r="B1384" t="str">
        <f>T("   Niger")</f>
        <v xml:space="preserve">   Niger</v>
      </c>
      <c r="C1384">
        <v>114315388</v>
      </c>
      <c r="D1384">
        <v>23000</v>
      </c>
    </row>
    <row r="1385" spans="1:4" x14ac:dyDescent="0.25">
      <c r="A1385" t="str">
        <f>T("   NG")</f>
        <v xml:space="preserve">   NG</v>
      </c>
      <c r="B1385" t="str">
        <f>T("   Nigéria")</f>
        <v xml:space="preserve">   Nigéria</v>
      </c>
      <c r="C1385">
        <v>4880800</v>
      </c>
      <c r="D1385">
        <v>12000</v>
      </c>
    </row>
    <row r="1386" spans="1:4" x14ac:dyDescent="0.25">
      <c r="A1386" t="str">
        <f>T("847982")</f>
        <v>847982</v>
      </c>
      <c r="B1386"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387" spans="1:4" x14ac:dyDescent="0.25">
      <c r="A1387" t="str">
        <f>T("   ZZZ_Monde")</f>
        <v xml:space="preserve">   ZZZ_Monde</v>
      </c>
      <c r="B1387" t="str">
        <f>T("   ZZZ_Monde")</f>
        <v xml:space="preserve">   ZZZ_Monde</v>
      </c>
      <c r="C1387">
        <v>92898484</v>
      </c>
      <c r="D1387">
        <v>68525</v>
      </c>
    </row>
    <row r="1388" spans="1:4" x14ac:dyDescent="0.25">
      <c r="A1388" t="str">
        <f>T("   CM")</f>
        <v xml:space="preserve">   CM</v>
      </c>
      <c r="B1388" t="str">
        <f>T("   Cameroun")</f>
        <v xml:space="preserve">   Cameroun</v>
      </c>
      <c r="C1388">
        <v>92898484</v>
      </c>
      <c r="D1388">
        <v>68525</v>
      </c>
    </row>
    <row r="1389" spans="1:4" x14ac:dyDescent="0.25">
      <c r="A1389" t="str">
        <f>T("847989")</f>
        <v>847989</v>
      </c>
      <c r="B1389" t="str">
        <f>T("Machines et appareils, y.c. les appareils mécaniques, n.d.a.")</f>
        <v>Machines et appareils, y.c. les appareils mécaniques, n.d.a.</v>
      </c>
    </row>
    <row r="1390" spans="1:4" x14ac:dyDescent="0.25">
      <c r="A1390" t="str">
        <f>T("   ZZZ_Monde")</f>
        <v xml:space="preserve">   ZZZ_Monde</v>
      </c>
      <c r="B1390" t="str">
        <f>T("   ZZZ_Monde")</f>
        <v xml:space="preserve">   ZZZ_Monde</v>
      </c>
      <c r="C1390">
        <v>2000000</v>
      </c>
      <c r="D1390">
        <v>936</v>
      </c>
    </row>
    <row r="1391" spans="1:4" x14ac:dyDescent="0.25">
      <c r="A1391" t="str">
        <f>T("   CI")</f>
        <v xml:space="preserve">   CI</v>
      </c>
      <c r="B1391" t="str">
        <f>T("   Côte d'Ivoire")</f>
        <v xml:space="preserve">   Côte d'Ivoire</v>
      </c>
      <c r="C1391">
        <v>2000000</v>
      </c>
      <c r="D1391">
        <v>936</v>
      </c>
    </row>
    <row r="1392" spans="1:4" x14ac:dyDescent="0.25">
      <c r="A1392" t="str">
        <f>T("847990")</f>
        <v>847990</v>
      </c>
      <c r="B1392" t="str">
        <f>T("Parties de machines et appareils, y.c. les appareils mécaniques, n.d.a.")</f>
        <v>Parties de machines et appareils, y.c. les appareils mécaniques, n.d.a.</v>
      </c>
    </row>
    <row r="1393" spans="1:4" x14ac:dyDescent="0.25">
      <c r="A1393" t="str">
        <f>T("   ZZZ_Monde")</f>
        <v xml:space="preserve">   ZZZ_Monde</v>
      </c>
      <c r="B1393" t="str">
        <f>T("   ZZZ_Monde")</f>
        <v xml:space="preserve">   ZZZ_Monde</v>
      </c>
      <c r="C1393">
        <v>500000</v>
      </c>
      <c r="D1393">
        <v>15</v>
      </c>
    </row>
    <row r="1394" spans="1:4" x14ac:dyDescent="0.25">
      <c r="A1394" t="str">
        <f>T("   TG")</f>
        <v xml:space="preserve">   TG</v>
      </c>
      <c r="B1394" t="str">
        <f>T("   Togo")</f>
        <v xml:space="preserve">   Togo</v>
      </c>
      <c r="C1394">
        <v>500000</v>
      </c>
      <c r="D1394">
        <v>15</v>
      </c>
    </row>
    <row r="1395" spans="1:4" x14ac:dyDescent="0.25">
      <c r="A1395" t="str">
        <f>T("848390")</f>
        <v>848390</v>
      </c>
      <c r="B1395"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396" spans="1:4" x14ac:dyDescent="0.25">
      <c r="A1396" t="str">
        <f>T("   ZZZ_Monde")</f>
        <v xml:space="preserve">   ZZZ_Monde</v>
      </c>
      <c r="B1396" t="str">
        <f>T("   ZZZ_Monde")</f>
        <v xml:space="preserve">   ZZZ_Monde</v>
      </c>
      <c r="C1396">
        <v>3176845</v>
      </c>
      <c r="D1396">
        <v>4214</v>
      </c>
    </row>
    <row r="1397" spans="1:4" x14ac:dyDescent="0.25">
      <c r="A1397" t="str">
        <f>T("   BE")</f>
        <v xml:space="preserve">   BE</v>
      </c>
      <c r="B1397" t="str">
        <f>T("   Belgique")</f>
        <v xml:space="preserve">   Belgique</v>
      </c>
      <c r="C1397">
        <v>3176845</v>
      </c>
      <c r="D1397">
        <v>4214</v>
      </c>
    </row>
    <row r="1398" spans="1:4" x14ac:dyDescent="0.25">
      <c r="A1398" t="str">
        <f>T("850110")</f>
        <v>850110</v>
      </c>
      <c r="B1398" t="str">
        <f>T("Moteurs d'une puissance &lt;= 37,5 W")</f>
        <v>Moteurs d'une puissance &lt;= 37,5 W</v>
      </c>
    </row>
    <row r="1399" spans="1:4" x14ac:dyDescent="0.25">
      <c r="A1399" t="str">
        <f>T("   ZZZ_Monde")</f>
        <v xml:space="preserve">   ZZZ_Monde</v>
      </c>
      <c r="B1399" t="str">
        <f>T("   ZZZ_Monde")</f>
        <v xml:space="preserve">   ZZZ_Monde</v>
      </c>
      <c r="C1399">
        <v>2000000</v>
      </c>
      <c r="D1399">
        <v>6400</v>
      </c>
    </row>
    <row r="1400" spans="1:4" x14ac:dyDescent="0.25">
      <c r="A1400" t="str">
        <f>T("   GN")</f>
        <v xml:space="preserve">   GN</v>
      </c>
      <c r="B1400" t="str">
        <f>T("   Guinée")</f>
        <v xml:space="preserve">   Guinée</v>
      </c>
      <c r="C1400">
        <v>2000000</v>
      </c>
      <c r="D1400">
        <v>6400</v>
      </c>
    </row>
    <row r="1401" spans="1:4" x14ac:dyDescent="0.25">
      <c r="A1401" t="str">
        <f>T("850140")</f>
        <v>850140</v>
      </c>
      <c r="B1401" t="str">
        <f>T("Moteurs à courant alternatif, monophasés")</f>
        <v>Moteurs à courant alternatif, monophasés</v>
      </c>
    </row>
    <row r="1402" spans="1:4" x14ac:dyDescent="0.25">
      <c r="A1402" t="str">
        <f>T("   ZZZ_Monde")</f>
        <v xml:space="preserve">   ZZZ_Monde</v>
      </c>
      <c r="B1402" t="str">
        <f>T("   ZZZ_Monde")</f>
        <v xml:space="preserve">   ZZZ_Monde</v>
      </c>
      <c r="C1402">
        <v>8300000</v>
      </c>
      <c r="D1402">
        <v>9500</v>
      </c>
    </row>
    <row r="1403" spans="1:4" x14ac:dyDescent="0.25">
      <c r="A1403" t="str">
        <f>T("   MR")</f>
        <v xml:space="preserve">   MR</v>
      </c>
      <c r="B1403" t="str">
        <f>T("   Mauritanie")</f>
        <v xml:space="preserve">   Mauritanie</v>
      </c>
      <c r="C1403">
        <v>4300000</v>
      </c>
      <c r="D1403">
        <v>7500</v>
      </c>
    </row>
    <row r="1404" spans="1:4" x14ac:dyDescent="0.25">
      <c r="A1404" t="str">
        <f>T("   NE")</f>
        <v xml:space="preserve">   NE</v>
      </c>
      <c r="B1404" t="str">
        <f>T("   Niger")</f>
        <v xml:space="preserve">   Niger</v>
      </c>
      <c r="C1404">
        <v>4000000</v>
      </c>
      <c r="D1404">
        <v>2000</v>
      </c>
    </row>
    <row r="1405" spans="1:4" x14ac:dyDescent="0.25">
      <c r="A1405" t="str">
        <f>T("850211")</f>
        <v>850211</v>
      </c>
      <c r="B1405" t="s">
        <v>18</v>
      </c>
    </row>
    <row r="1406" spans="1:4" x14ac:dyDescent="0.25">
      <c r="A1406" t="str">
        <f>T("   ZZZ_Monde")</f>
        <v xml:space="preserve">   ZZZ_Monde</v>
      </c>
      <c r="B1406" t="str">
        <f>T("   ZZZ_Monde")</f>
        <v xml:space="preserve">   ZZZ_Monde</v>
      </c>
      <c r="C1406">
        <v>17001171</v>
      </c>
      <c r="D1406">
        <v>8643</v>
      </c>
    </row>
    <row r="1407" spans="1:4" x14ac:dyDescent="0.25">
      <c r="A1407" t="str">
        <f>T("   CM")</f>
        <v xml:space="preserve">   CM</v>
      </c>
      <c r="B1407" t="str">
        <f>T("   Cameroun")</f>
        <v xml:space="preserve">   Cameroun</v>
      </c>
      <c r="C1407">
        <v>10617369</v>
      </c>
      <c r="D1407">
        <v>2881</v>
      </c>
    </row>
    <row r="1408" spans="1:4" x14ac:dyDescent="0.25">
      <c r="A1408" t="str">
        <f>T("   TG")</f>
        <v xml:space="preserve">   TG</v>
      </c>
      <c r="B1408" t="str">
        <f>T("   Togo")</f>
        <v xml:space="preserve">   Togo</v>
      </c>
      <c r="C1408">
        <v>6383802</v>
      </c>
      <c r="D1408">
        <v>5762</v>
      </c>
    </row>
    <row r="1409" spans="1:4" x14ac:dyDescent="0.25">
      <c r="A1409" t="str">
        <f>T("850212")</f>
        <v>850212</v>
      </c>
      <c r="B1409"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410" spans="1:4" x14ac:dyDescent="0.25">
      <c r="A1410" t="str">
        <f>T("   ZZZ_Monde")</f>
        <v xml:space="preserve">   ZZZ_Monde</v>
      </c>
      <c r="B1410" t="str">
        <f>T("   ZZZ_Monde")</f>
        <v xml:space="preserve">   ZZZ_Monde</v>
      </c>
      <c r="C1410">
        <v>10034354</v>
      </c>
      <c r="D1410">
        <v>3250</v>
      </c>
    </row>
    <row r="1411" spans="1:4" x14ac:dyDescent="0.25">
      <c r="A1411" t="str">
        <f>T("   CM")</f>
        <v xml:space="preserve">   CM</v>
      </c>
      <c r="B1411" t="str">
        <f>T("   Cameroun")</f>
        <v xml:space="preserve">   Cameroun</v>
      </c>
      <c r="C1411">
        <v>9034354</v>
      </c>
      <c r="D1411">
        <v>2600</v>
      </c>
    </row>
    <row r="1412" spans="1:4" x14ac:dyDescent="0.25">
      <c r="A1412" t="str">
        <f>T("   NE")</f>
        <v xml:space="preserve">   NE</v>
      </c>
      <c r="B1412" t="str">
        <f>T("   Niger")</f>
        <v xml:space="preserve">   Niger</v>
      </c>
      <c r="C1412">
        <v>1000000</v>
      </c>
      <c r="D1412">
        <v>650</v>
      </c>
    </row>
    <row r="1413" spans="1:4" x14ac:dyDescent="0.25">
      <c r="A1413" t="str">
        <f>T("850239")</f>
        <v>850239</v>
      </c>
      <c r="B1413" t="str">
        <f>T("Groupes électrogènes (autres qu'à énergie éolienne et à moteurs à piston)")</f>
        <v>Groupes électrogènes (autres qu'à énergie éolienne et à moteurs à piston)</v>
      </c>
    </row>
    <row r="1414" spans="1:4" x14ac:dyDescent="0.25">
      <c r="A1414" t="str">
        <f>T("   ZZZ_Monde")</f>
        <v xml:space="preserve">   ZZZ_Monde</v>
      </c>
      <c r="B1414" t="str">
        <f>T("   ZZZ_Monde")</f>
        <v xml:space="preserve">   ZZZ_Monde</v>
      </c>
      <c r="C1414">
        <v>1000000</v>
      </c>
      <c r="D1414">
        <v>2000</v>
      </c>
    </row>
    <row r="1415" spans="1:4" x14ac:dyDescent="0.25">
      <c r="A1415" t="str">
        <f>T("   SN")</f>
        <v xml:space="preserve">   SN</v>
      </c>
      <c r="B1415" t="str">
        <f>T("   Sénégal")</f>
        <v xml:space="preserve">   Sénégal</v>
      </c>
      <c r="C1415">
        <v>1000000</v>
      </c>
      <c r="D1415">
        <v>2000</v>
      </c>
    </row>
    <row r="1416" spans="1:4" x14ac:dyDescent="0.25">
      <c r="A1416" t="str">
        <f>T("850440")</f>
        <v>850440</v>
      </c>
      <c r="B1416" t="str">
        <f>T("CONVERTISSEURS STATIQUES")</f>
        <v>CONVERTISSEURS STATIQUES</v>
      </c>
    </row>
    <row r="1417" spans="1:4" x14ac:dyDescent="0.25">
      <c r="A1417" t="str">
        <f>T("   ZZZ_Monde")</f>
        <v xml:space="preserve">   ZZZ_Monde</v>
      </c>
      <c r="B1417" t="str">
        <f>T("   ZZZ_Monde")</f>
        <v xml:space="preserve">   ZZZ_Monde</v>
      </c>
      <c r="C1417">
        <v>651601</v>
      </c>
      <c r="D1417">
        <v>125</v>
      </c>
    </row>
    <row r="1418" spans="1:4" x14ac:dyDescent="0.25">
      <c r="A1418" t="str">
        <f>T("   GB")</f>
        <v xml:space="preserve">   GB</v>
      </c>
      <c r="B1418" t="str">
        <f>T("   Royaume-Uni")</f>
        <v xml:space="preserve">   Royaume-Uni</v>
      </c>
      <c r="C1418">
        <v>651601</v>
      </c>
      <c r="D1418">
        <v>125</v>
      </c>
    </row>
    <row r="1419" spans="1:4" x14ac:dyDescent="0.25">
      <c r="A1419" t="str">
        <f>T("850680")</f>
        <v>850680</v>
      </c>
      <c r="B1419"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420" spans="1:4" x14ac:dyDescent="0.25">
      <c r="A1420" t="str">
        <f>T("   ZZZ_Monde")</f>
        <v xml:space="preserve">   ZZZ_Monde</v>
      </c>
      <c r="B1420" t="str">
        <f>T("   ZZZ_Monde")</f>
        <v xml:space="preserve">   ZZZ_Monde</v>
      </c>
      <c r="C1420">
        <v>4800000</v>
      </c>
      <c r="D1420">
        <v>48000</v>
      </c>
    </row>
    <row r="1421" spans="1:4" x14ac:dyDescent="0.25">
      <c r="A1421" t="str">
        <f>T("   GH")</f>
        <v xml:space="preserve">   GH</v>
      </c>
      <c r="B1421" t="str">
        <f>T("   Ghana")</f>
        <v xml:space="preserve">   Ghana</v>
      </c>
      <c r="C1421">
        <v>4800000</v>
      </c>
      <c r="D1421">
        <v>48000</v>
      </c>
    </row>
    <row r="1422" spans="1:4" x14ac:dyDescent="0.25">
      <c r="A1422" t="str">
        <f>T("850720")</f>
        <v>850720</v>
      </c>
      <c r="B1422" t="str">
        <f>T("Accumulateurs au plomb (sauf hors d'usage et autres que pour le démarrage des moteurs à piston)")</f>
        <v>Accumulateurs au plomb (sauf hors d'usage et autres que pour le démarrage des moteurs à piston)</v>
      </c>
    </row>
    <row r="1423" spans="1:4" x14ac:dyDescent="0.25">
      <c r="A1423" t="str">
        <f>T("   ZZZ_Monde")</f>
        <v xml:space="preserve">   ZZZ_Monde</v>
      </c>
      <c r="B1423" t="str">
        <f>T("   ZZZ_Monde")</f>
        <v xml:space="preserve">   ZZZ_Monde</v>
      </c>
      <c r="C1423">
        <v>27587960</v>
      </c>
      <c r="D1423">
        <v>80399</v>
      </c>
    </row>
    <row r="1424" spans="1:4" x14ac:dyDescent="0.25">
      <c r="A1424" t="str">
        <f>T("   IN")</f>
        <v xml:space="preserve">   IN</v>
      </c>
      <c r="B1424" t="str">
        <f>T("   Inde")</f>
        <v xml:space="preserve">   Inde</v>
      </c>
      <c r="C1424">
        <v>17650460</v>
      </c>
      <c r="D1424">
        <v>74122</v>
      </c>
    </row>
    <row r="1425" spans="1:4" x14ac:dyDescent="0.25">
      <c r="A1425" t="str">
        <f>T("   NE")</f>
        <v xml:space="preserve">   NE</v>
      </c>
      <c r="B1425" t="str">
        <f>T("   Niger")</f>
        <v xml:space="preserve">   Niger</v>
      </c>
      <c r="C1425">
        <v>9937500</v>
      </c>
      <c r="D1425">
        <v>6277</v>
      </c>
    </row>
    <row r="1426" spans="1:4" x14ac:dyDescent="0.25">
      <c r="A1426" t="str">
        <f>T("850780")</f>
        <v>850780</v>
      </c>
      <c r="B1426" t="str">
        <f>T("Accumulateurs électriques (sauf hors d'usage et autres qu'au plomb, au nickel-cadmium ou au nickel-fer)")</f>
        <v>Accumulateurs électriques (sauf hors d'usage et autres qu'au plomb, au nickel-cadmium ou au nickel-fer)</v>
      </c>
    </row>
    <row r="1427" spans="1:4" x14ac:dyDescent="0.25">
      <c r="A1427" t="str">
        <f>T("   ZZZ_Monde")</f>
        <v xml:space="preserve">   ZZZ_Monde</v>
      </c>
      <c r="B1427" t="str">
        <f>T("   ZZZ_Monde")</f>
        <v xml:space="preserve">   ZZZ_Monde</v>
      </c>
      <c r="C1427">
        <v>1000000</v>
      </c>
      <c r="D1427">
        <v>20000</v>
      </c>
    </row>
    <row r="1428" spans="1:4" x14ac:dyDescent="0.25">
      <c r="A1428" t="str">
        <f>T("   IN")</f>
        <v xml:space="preserve">   IN</v>
      </c>
      <c r="B1428" t="str">
        <f>T("   Inde")</f>
        <v xml:space="preserve">   Inde</v>
      </c>
      <c r="C1428">
        <v>1000000</v>
      </c>
      <c r="D1428">
        <v>20000</v>
      </c>
    </row>
    <row r="1429" spans="1:4" x14ac:dyDescent="0.25">
      <c r="A1429" t="str">
        <f>T("850790")</f>
        <v>850790</v>
      </c>
      <c r="B1429" t="str">
        <f>T("Plaques, séparateurs et autres parties d'accumulateurs électriques n.d.a.")</f>
        <v>Plaques, séparateurs et autres parties d'accumulateurs électriques n.d.a.</v>
      </c>
    </row>
    <row r="1430" spans="1:4" x14ac:dyDescent="0.25">
      <c r="A1430" t="str">
        <f>T("   ZZZ_Monde")</f>
        <v xml:space="preserve">   ZZZ_Monde</v>
      </c>
      <c r="B1430" t="str">
        <f>T("   ZZZ_Monde")</f>
        <v xml:space="preserve">   ZZZ_Monde</v>
      </c>
      <c r="C1430">
        <v>156163513</v>
      </c>
      <c r="D1430">
        <v>501625</v>
      </c>
    </row>
    <row r="1431" spans="1:4" x14ac:dyDescent="0.25">
      <c r="A1431" t="str">
        <f>T("   CN")</f>
        <v xml:space="preserve">   CN</v>
      </c>
      <c r="B1431" t="str">
        <f>T("   Chine")</f>
        <v xml:space="preserve">   Chine</v>
      </c>
      <c r="C1431">
        <v>500000</v>
      </c>
      <c r="D1431">
        <v>10000</v>
      </c>
    </row>
    <row r="1432" spans="1:4" x14ac:dyDescent="0.25">
      <c r="A1432" t="str">
        <f>T("   GH")</f>
        <v xml:space="preserve">   GH</v>
      </c>
      <c r="B1432" t="str">
        <f>T("   Ghana")</f>
        <v xml:space="preserve">   Ghana</v>
      </c>
      <c r="C1432">
        <v>12350000</v>
      </c>
      <c r="D1432">
        <v>247000</v>
      </c>
    </row>
    <row r="1433" spans="1:4" x14ac:dyDescent="0.25">
      <c r="A1433" t="str">
        <f>T("   IN")</f>
        <v xml:space="preserve">   IN</v>
      </c>
      <c r="B1433" t="str">
        <f>T("   Inde")</f>
        <v xml:space="preserve">   Inde</v>
      </c>
      <c r="C1433">
        <v>143313513</v>
      </c>
      <c r="D1433">
        <v>244625</v>
      </c>
    </row>
    <row r="1434" spans="1:4" x14ac:dyDescent="0.25">
      <c r="A1434" t="str">
        <f>T("851430")</f>
        <v>851430</v>
      </c>
      <c r="B1434"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435" spans="1:4" x14ac:dyDescent="0.25">
      <c r="A1435" t="str">
        <f>T("   ZZZ_Monde")</f>
        <v xml:space="preserve">   ZZZ_Monde</v>
      </c>
      <c r="B1435" t="str">
        <f>T("   ZZZ_Monde")</f>
        <v xml:space="preserve">   ZZZ_Monde</v>
      </c>
      <c r="C1435">
        <v>3000000</v>
      </c>
      <c r="D1435">
        <v>9500</v>
      </c>
    </row>
    <row r="1436" spans="1:4" x14ac:dyDescent="0.25">
      <c r="A1436" t="str">
        <f>T("   NE")</f>
        <v xml:space="preserve">   NE</v>
      </c>
      <c r="B1436" t="str">
        <f>T("   Niger")</f>
        <v xml:space="preserve">   Niger</v>
      </c>
      <c r="C1436">
        <v>3000000</v>
      </c>
      <c r="D1436">
        <v>9500</v>
      </c>
    </row>
    <row r="1437" spans="1:4" x14ac:dyDescent="0.25">
      <c r="A1437" t="str">
        <f>T("851519")</f>
        <v>851519</v>
      </c>
      <c r="B1437" t="str">
        <f>T("Machines et appareils électriques pour le brasage fort ou tendre (sauf fers et pistolets à braser)")</f>
        <v>Machines et appareils électriques pour le brasage fort ou tendre (sauf fers et pistolets à braser)</v>
      </c>
    </row>
    <row r="1438" spans="1:4" x14ac:dyDescent="0.25">
      <c r="A1438" t="str">
        <f>T("   ZZZ_Monde")</f>
        <v xml:space="preserve">   ZZZ_Monde</v>
      </c>
      <c r="B1438" t="str">
        <f>T("   ZZZ_Monde")</f>
        <v xml:space="preserve">   ZZZ_Monde</v>
      </c>
      <c r="C1438">
        <v>6455551</v>
      </c>
      <c r="D1438">
        <v>224</v>
      </c>
    </row>
    <row r="1439" spans="1:4" x14ac:dyDescent="0.25">
      <c r="A1439" t="str">
        <f>T("   CI")</f>
        <v xml:space="preserve">   CI</v>
      </c>
      <c r="B1439" t="str">
        <f>T("   Côte d'Ivoire")</f>
        <v xml:space="preserve">   Côte d'Ivoire</v>
      </c>
      <c r="C1439">
        <v>6455551</v>
      </c>
      <c r="D1439">
        <v>224</v>
      </c>
    </row>
    <row r="1440" spans="1:4" x14ac:dyDescent="0.25">
      <c r="A1440" t="str">
        <f>T("851539")</f>
        <v>851539</v>
      </c>
      <c r="B1440" t="str">
        <f>T("MACHINES ET APPAREILS POUR LE SOUDAGE DES MÉTAUX À L'ARC OU AU JET DE PLASMA, NON-AUTOMATIQUES")</f>
        <v>MACHINES ET APPAREILS POUR LE SOUDAGE DES MÉTAUX À L'ARC OU AU JET DE PLASMA, NON-AUTOMATIQUES</v>
      </c>
    </row>
    <row r="1441" spans="1:4" x14ac:dyDescent="0.25">
      <c r="A1441" t="str">
        <f>T("   ZZZ_Monde")</f>
        <v xml:space="preserve">   ZZZ_Monde</v>
      </c>
      <c r="B1441" t="str">
        <f>T("   ZZZ_Monde")</f>
        <v xml:space="preserve">   ZZZ_Monde</v>
      </c>
      <c r="C1441">
        <v>4007749</v>
      </c>
      <c r="D1441">
        <v>357</v>
      </c>
    </row>
    <row r="1442" spans="1:4" x14ac:dyDescent="0.25">
      <c r="A1442" t="str">
        <f>T("   CI")</f>
        <v xml:space="preserve">   CI</v>
      </c>
      <c r="B1442" t="str">
        <f>T("   Côte d'Ivoire")</f>
        <v xml:space="preserve">   Côte d'Ivoire</v>
      </c>
      <c r="C1442">
        <v>4007749</v>
      </c>
      <c r="D1442">
        <v>357</v>
      </c>
    </row>
    <row r="1443" spans="1:4" x14ac:dyDescent="0.25">
      <c r="A1443" t="str">
        <f>T("851590")</f>
        <v>851590</v>
      </c>
      <c r="B1443" t="str">
        <f>T("Parties de machines et appareils électriques pour le brasage, le soudage ou la projection à chaud de métaux, de carbures métalliques frittés ou de cermets, n.d.a.")</f>
        <v>Parties de machines et appareils électriques pour le brasage, le soudage ou la projection à chaud de métaux, de carbures métalliques frittés ou de cermets, n.d.a.</v>
      </c>
    </row>
    <row r="1444" spans="1:4" x14ac:dyDescent="0.25">
      <c r="A1444" t="str">
        <f>T("   ZZZ_Monde")</f>
        <v xml:space="preserve">   ZZZ_Monde</v>
      </c>
      <c r="B1444" t="str">
        <f>T("   ZZZ_Monde")</f>
        <v xml:space="preserve">   ZZZ_Monde</v>
      </c>
      <c r="C1444">
        <v>535787</v>
      </c>
      <c r="D1444">
        <v>38</v>
      </c>
    </row>
    <row r="1445" spans="1:4" x14ac:dyDescent="0.25">
      <c r="A1445" t="str">
        <f>T("   CI")</f>
        <v xml:space="preserve">   CI</v>
      </c>
      <c r="B1445" t="str">
        <f>T("   Côte d'Ivoire")</f>
        <v xml:space="preserve">   Côte d'Ivoire</v>
      </c>
      <c r="C1445">
        <v>535787</v>
      </c>
      <c r="D1445">
        <v>38</v>
      </c>
    </row>
    <row r="1446" spans="1:4" x14ac:dyDescent="0.25">
      <c r="A1446" t="str">
        <f>T("852540")</f>
        <v>852540</v>
      </c>
      <c r="B1446" t="str">
        <f>T("Appareils de prise de vues fixes vidéo et autres caméscopes; appareils photographiques numériques")</f>
        <v>Appareils de prise de vues fixes vidéo et autres caméscopes; appareils photographiques numériques</v>
      </c>
    </row>
    <row r="1447" spans="1:4" x14ac:dyDescent="0.25">
      <c r="A1447" t="str">
        <f>T("   ZZZ_Monde")</f>
        <v xml:space="preserve">   ZZZ_Monde</v>
      </c>
      <c r="B1447" t="str">
        <f>T("   ZZZ_Monde")</f>
        <v xml:space="preserve">   ZZZ_Monde</v>
      </c>
      <c r="C1447">
        <v>9523521</v>
      </c>
      <c r="D1447">
        <v>5529</v>
      </c>
    </row>
    <row r="1448" spans="1:4" x14ac:dyDescent="0.25">
      <c r="A1448" t="str">
        <f>T("   ZA")</f>
        <v xml:space="preserve">   ZA</v>
      </c>
      <c r="B1448" t="str">
        <f>T("   Afrique du Sud")</f>
        <v xml:space="preserve">   Afrique du Sud</v>
      </c>
      <c r="C1448">
        <v>9523521</v>
      </c>
      <c r="D1448">
        <v>5529</v>
      </c>
    </row>
    <row r="1449" spans="1:4" x14ac:dyDescent="0.25">
      <c r="A1449" t="str">
        <f>T("852812")</f>
        <v>852812</v>
      </c>
      <c r="B1449"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450" spans="1:4" x14ac:dyDescent="0.25">
      <c r="A1450" t="str">
        <f>T("   ZZZ_Monde")</f>
        <v xml:space="preserve">   ZZZ_Monde</v>
      </c>
      <c r="B1450" t="str">
        <f>T("   ZZZ_Monde")</f>
        <v xml:space="preserve">   ZZZ_Monde</v>
      </c>
      <c r="C1450">
        <v>180000</v>
      </c>
      <c r="D1450">
        <v>5</v>
      </c>
    </row>
    <row r="1451" spans="1:4" x14ac:dyDescent="0.25">
      <c r="A1451" t="str">
        <f>T("   GQ")</f>
        <v xml:space="preserve">   GQ</v>
      </c>
      <c r="B1451" t="str">
        <f>T("   Guinée Equatoriale")</f>
        <v xml:space="preserve">   Guinée Equatoriale</v>
      </c>
      <c r="C1451">
        <v>180000</v>
      </c>
      <c r="D1451">
        <v>5</v>
      </c>
    </row>
    <row r="1452" spans="1:4" x14ac:dyDescent="0.25">
      <c r="A1452" t="str">
        <f>T("853710")</f>
        <v>853710</v>
      </c>
      <c r="B1452" t="str">
        <f>T("Tableaux, armoires et combinaisons d'appareils simil., pour la commande ou la distribution électrique, pour une tension &gt;= 1.000 V")</f>
        <v>Tableaux, armoires et combinaisons d'appareils simil., pour la commande ou la distribution électrique, pour une tension &gt;= 1.000 V</v>
      </c>
    </row>
    <row r="1453" spans="1:4" x14ac:dyDescent="0.25">
      <c r="A1453" t="str">
        <f>T("   ZZZ_Monde")</f>
        <v xml:space="preserve">   ZZZ_Monde</v>
      </c>
      <c r="B1453" t="str">
        <f>T("   ZZZ_Monde")</f>
        <v xml:space="preserve">   ZZZ_Monde</v>
      </c>
      <c r="C1453">
        <v>500000</v>
      </c>
      <c r="D1453">
        <v>500</v>
      </c>
    </row>
    <row r="1454" spans="1:4" x14ac:dyDescent="0.25">
      <c r="A1454" t="str">
        <f>T("   LB")</f>
        <v xml:space="preserve">   LB</v>
      </c>
      <c r="B1454" t="str">
        <f>T("   Liban")</f>
        <v xml:space="preserve">   Liban</v>
      </c>
      <c r="C1454">
        <v>500000</v>
      </c>
      <c r="D1454">
        <v>500</v>
      </c>
    </row>
    <row r="1455" spans="1:4" x14ac:dyDescent="0.25">
      <c r="A1455" t="str">
        <f>T("853910")</f>
        <v>853910</v>
      </c>
      <c r="B1455" t="str">
        <f>T("Phares et projecteurs scellés")</f>
        <v>Phares et projecteurs scellés</v>
      </c>
    </row>
    <row r="1456" spans="1:4" x14ac:dyDescent="0.25">
      <c r="A1456" t="str">
        <f>T("   ZZZ_Monde")</f>
        <v xml:space="preserve">   ZZZ_Monde</v>
      </c>
      <c r="B1456" t="str">
        <f>T("   ZZZ_Monde")</f>
        <v xml:space="preserve">   ZZZ_Monde</v>
      </c>
      <c r="C1456">
        <v>1279737</v>
      </c>
      <c r="D1456">
        <v>94</v>
      </c>
    </row>
    <row r="1457" spans="1:4" x14ac:dyDescent="0.25">
      <c r="A1457" t="str">
        <f>T("   CI")</f>
        <v xml:space="preserve">   CI</v>
      </c>
      <c r="B1457" t="str">
        <f>T("   Côte d'Ivoire")</f>
        <v xml:space="preserve">   Côte d'Ivoire</v>
      </c>
      <c r="C1457">
        <v>89825</v>
      </c>
      <c r="D1457">
        <v>4</v>
      </c>
    </row>
    <row r="1458" spans="1:4" x14ac:dyDescent="0.25">
      <c r="A1458" t="str">
        <f>T("   FR")</f>
        <v xml:space="preserve">   FR</v>
      </c>
      <c r="B1458" t="str">
        <f>T("   France")</f>
        <v xml:space="preserve">   France</v>
      </c>
      <c r="C1458">
        <v>1189912</v>
      </c>
      <c r="D1458">
        <v>90</v>
      </c>
    </row>
    <row r="1459" spans="1:4" x14ac:dyDescent="0.25">
      <c r="A1459" t="str">
        <f>T("853931")</f>
        <v>853931</v>
      </c>
      <c r="B1459" t="str">
        <f>T("Lampes et tubes à décharge, fluorescents, à cathode chaude")</f>
        <v>Lampes et tubes à décharge, fluorescents, à cathode chaude</v>
      </c>
    </row>
    <row r="1460" spans="1:4" x14ac:dyDescent="0.25">
      <c r="A1460" t="str">
        <f>T("   ZZZ_Monde")</f>
        <v xml:space="preserve">   ZZZ_Monde</v>
      </c>
      <c r="B1460" t="str">
        <f>T("   ZZZ_Monde")</f>
        <v xml:space="preserve">   ZZZ_Monde</v>
      </c>
      <c r="C1460">
        <v>1565436</v>
      </c>
      <c r="D1460">
        <v>684</v>
      </c>
    </row>
    <row r="1461" spans="1:4" x14ac:dyDescent="0.25">
      <c r="A1461" t="str">
        <f>T("   NE")</f>
        <v xml:space="preserve">   NE</v>
      </c>
      <c r="B1461" t="str">
        <f>T("   Niger")</f>
        <v xml:space="preserve">   Niger</v>
      </c>
      <c r="C1461">
        <v>1565436</v>
      </c>
      <c r="D1461">
        <v>684</v>
      </c>
    </row>
    <row r="1462" spans="1:4" x14ac:dyDescent="0.25">
      <c r="A1462" t="str">
        <f>T("853939")</f>
        <v>853939</v>
      </c>
      <c r="B1462" t="str">
        <f>T("Lampes et tubes à décharge (autres que fluorescents, à cathode chaude, à vapeur de mercure ou de sodium, à halogénure métallique et qu'à rayons ultraviolets)")</f>
        <v>Lampes et tubes à décharge (autres que fluorescents, à cathode chaude, à vapeur de mercure ou de sodium, à halogénure métallique et qu'à rayons ultraviolets)</v>
      </c>
    </row>
    <row r="1463" spans="1:4" x14ac:dyDescent="0.25">
      <c r="A1463" t="str">
        <f>T("   ZZZ_Monde")</f>
        <v xml:space="preserve">   ZZZ_Monde</v>
      </c>
      <c r="B1463" t="str">
        <f>T("   ZZZ_Monde")</f>
        <v xml:space="preserve">   ZZZ_Monde</v>
      </c>
      <c r="C1463">
        <v>35052</v>
      </c>
      <c r="D1463">
        <v>1</v>
      </c>
    </row>
    <row r="1464" spans="1:4" x14ac:dyDescent="0.25">
      <c r="A1464" t="str">
        <f>T("   CI")</f>
        <v xml:space="preserve">   CI</v>
      </c>
      <c r="B1464" t="str">
        <f>T("   Côte d'Ivoire")</f>
        <v xml:space="preserve">   Côte d'Ivoire</v>
      </c>
      <c r="C1464">
        <v>35052</v>
      </c>
      <c r="D1464">
        <v>1</v>
      </c>
    </row>
    <row r="1465" spans="1:4" x14ac:dyDescent="0.25">
      <c r="A1465" t="str">
        <f>T("854420")</f>
        <v>854420</v>
      </c>
      <c r="B1465" t="str">
        <f>T("Câbles coaxiaux et autres conducteurs électriques coaxiaux, isolés")</f>
        <v>Câbles coaxiaux et autres conducteurs électriques coaxiaux, isolés</v>
      </c>
    </row>
    <row r="1466" spans="1:4" x14ac:dyDescent="0.25">
      <c r="A1466" t="str">
        <f>T("   ZZZ_Monde")</f>
        <v xml:space="preserve">   ZZZ_Monde</v>
      </c>
      <c r="B1466" t="str">
        <f>T("   ZZZ_Monde")</f>
        <v xml:space="preserve">   ZZZ_Monde</v>
      </c>
      <c r="C1466">
        <v>3748627</v>
      </c>
      <c r="D1466">
        <v>1285</v>
      </c>
    </row>
    <row r="1467" spans="1:4" x14ac:dyDescent="0.25">
      <c r="A1467" t="str">
        <f>T("   UG")</f>
        <v xml:space="preserve">   UG</v>
      </c>
      <c r="B1467" t="str">
        <f>T("   Ouganda")</f>
        <v xml:space="preserve">   Ouganda</v>
      </c>
      <c r="C1467">
        <v>3748627</v>
      </c>
      <c r="D1467">
        <v>1285</v>
      </c>
    </row>
    <row r="1468" spans="1:4" x14ac:dyDescent="0.25">
      <c r="A1468" t="str">
        <f>T("854449")</f>
        <v>854449</v>
      </c>
      <c r="B1468" t="str">
        <f>T("CONDUCTEURS ÉLECTRIQUES, POUR TENSION &lt;= 1.000 V, ISOLÉS, SANS PIÈCES DE CONNEXION, N.D.A.")</f>
        <v>CONDUCTEURS ÉLECTRIQUES, POUR TENSION &lt;= 1.000 V, ISOLÉS, SANS PIÈCES DE CONNEXION, N.D.A.</v>
      </c>
    </row>
    <row r="1469" spans="1:4" x14ac:dyDescent="0.25">
      <c r="A1469" t="str">
        <f>T("   ZZZ_Monde")</f>
        <v xml:space="preserve">   ZZZ_Monde</v>
      </c>
      <c r="B1469" t="str">
        <f>T("   ZZZ_Monde")</f>
        <v xml:space="preserve">   ZZZ_Monde</v>
      </c>
      <c r="C1469">
        <v>1058984</v>
      </c>
      <c r="D1469">
        <v>114</v>
      </c>
    </row>
    <row r="1470" spans="1:4" x14ac:dyDescent="0.25">
      <c r="A1470" t="str">
        <f>T("   CI")</f>
        <v xml:space="preserve">   CI</v>
      </c>
      <c r="B1470" t="str">
        <f>T("   Côte d'Ivoire")</f>
        <v xml:space="preserve">   Côte d'Ivoire</v>
      </c>
      <c r="C1470">
        <v>758693</v>
      </c>
      <c r="D1470">
        <v>56</v>
      </c>
    </row>
    <row r="1471" spans="1:4" x14ac:dyDescent="0.25">
      <c r="A1471" t="str">
        <f>T("   GB")</f>
        <v xml:space="preserve">   GB</v>
      </c>
      <c r="B1471" t="str">
        <f>T("   Royaume-Uni")</f>
        <v xml:space="preserve">   Royaume-Uni</v>
      </c>
      <c r="C1471">
        <v>300291</v>
      </c>
      <c r="D1471">
        <v>58</v>
      </c>
    </row>
    <row r="1472" spans="1:4" x14ac:dyDescent="0.25">
      <c r="A1472" t="str">
        <f>T("870120")</f>
        <v>870120</v>
      </c>
      <c r="B1472" t="str">
        <f>T("Tracteurs routiers pour semi-remorques")</f>
        <v>Tracteurs routiers pour semi-remorques</v>
      </c>
    </row>
    <row r="1473" spans="1:4" x14ac:dyDescent="0.25">
      <c r="A1473" t="str">
        <f>T("   ZZZ_Monde")</f>
        <v xml:space="preserve">   ZZZ_Monde</v>
      </c>
      <c r="B1473" t="str">
        <f>T("   ZZZ_Monde")</f>
        <v xml:space="preserve">   ZZZ_Monde</v>
      </c>
      <c r="C1473">
        <v>316645</v>
      </c>
      <c r="D1473">
        <v>20649</v>
      </c>
    </row>
    <row r="1474" spans="1:4" x14ac:dyDescent="0.25">
      <c r="A1474" t="str">
        <f>T("   BF")</f>
        <v xml:space="preserve">   BF</v>
      </c>
      <c r="B1474" t="str">
        <f>T("   Burkina Faso")</f>
        <v xml:space="preserve">   Burkina Faso</v>
      </c>
      <c r="C1474">
        <v>159152</v>
      </c>
      <c r="D1474">
        <v>12149</v>
      </c>
    </row>
    <row r="1475" spans="1:4" x14ac:dyDescent="0.25">
      <c r="A1475" t="str">
        <f>T("   CI")</f>
        <v xml:space="preserve">   CI</v>
      </c>
      <c r="B1475" t="str">
        <f>T("   Côte d'Ivoire")</f>
        <v xml:space="preserve">   Côte d'Ivoire</v>
      </c>
      <c r="C1475">
        <v>157493</v>
      </c>
      <c r="D1475">
        <v>8500</v>
      </c>
    </row>
    <row r="1476" spans="1:4" x14ac:dyDescent="0.25">
      <c r="A1476" t="str">
        <f>T("870130")</f>
        <v>870130</v>
      </c>
      <c r="B1476" t="str">
        <f>T("Tracteurs à chenilles (sauf motoculteurs à chenille)")</f>
        <v>Tracteurs à chenilles (sauf motoculteurs à chenille)</v>
      </c>
    </row>
    <row r="1477" spans="1:4" x14ac:dyDescent="0.25">
      <c r="A1477" t="str">
        <f>T("   ZZZ_Monde")</f>
        <v xml:space="preserve">   ZZZ_Monde</v>
      </c>
      <c r="B1477" t="str">
        <f>T("   ZZZ_Monde")</f>
        <v xml:space="preserve">   ZZZ_Monde</v>
      </c>
      <c r="C1477">
        <v>20000000</v>
      </c>
      <c r="D1477">
        <v>18000</v>
      </c>
    </row>
    <row r="1478" spans="1:4" x14ac:dyDescent="0.25">
      <c r="A1478" t="str">
        <f>T("   NL")</f>
        <v xml:space="preserve">   NL</v>
      </c>
      <c r="B1478" t="str">
        <f>T("   Pays-bas")</f>
        <v xml:space="preserve">   Pays-bas</v>
      </c>
      <c r="C1478">
        <v>20000000</v>
      </c>
      <c r="D1478">
        <v>18000</v>
      </c>
    </row>
    <row r="1479" spans="1:4" x14ac:dyDescent="0.25">
      <c r="A1479" t="str">
        <f>T("870190")</f>
        <v>870190</v>
      </c>
      <c r="B1479"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480" spans="1:4" x14ac:dyDescent="0.25">
      <c r="A1480" t="str">
        <f>T("   ZZZ_Monde")</f>
        <v xml:space="preserve">   ZZZ_Monde</v>
      </c>
      <c r="B1480" t="str">
        <f>T("   ZZZ_Monde")</f>
        <v xml:space="preserve">   ZZZ_Monde</v>
      </c>
      <c r="C1480">
        <v>5000000</v>
      </c>
      <c r="D1480">
        <v>5000</v>
      </c>
    </row>
    <row r="1481" spans="1:4" x14ac:dyDescent="0.25">
      <c r="A1481" t="str">
        <f>T("   NG")</f>
        <v xml:space="preserve">   NG</v>
      </c>
      <c r="B1481" t="str">
        <f>T("   Nigéria")</f>
        <v xml:space="preserve">   Nigéria</v>
      </c>
      <c r="C1481">
        <v>5000000</v>
      </c>
      <c r="D1481">
        <v>5000</v>
      </c>
    </row>
    <row r="1482" spans="1:4" x14ac:dyDescent="0.25">
      <c r="A1482" t="str">
        <f>T("870210")</f>
        <v>870210</v>
      </c>
      <c r="B1482" t="s">
        <v>19</v>
      </c>
    </row>
    <row r="1483" spans="1:4" x14ac:dyDescent="0.25">
      <c r="A1483" t="str">
        <f>T("   ZZZ_Monde")</f>
        <v xml:space="preserve">   ZZZ_Monde</v>
      </c>
      <c r="B1483" t="str">
        <f>T("   ZZZ_Monde")</f>
        <v xml:space="preserve">   ZZZ_Monde</v>
      </c>
      <c r="C1483">
        <v>1000000</v>
      </c>
      <c r="D1483">
        <v>1780</v>
      </c>
    </row>
    <row r="1484" spans="1:4" x14ac:dyDescent="0.25">
      <c r="A1484" t="str">
        <f>T("   GA")</f>
        <v xml:space="preserve">   GA</v>
      </c>
      <c r="B1484" t="str">
        <f>T("   Gabon")</f>
        <v xml:space="preserve">   Gabon</v>
      </c>
      <c r="C1484">
        <v>1000000</v>
      </c>
      <c r="D1484">
        <v>1780</v>
      </c>
    </row>
    <row r="1485" spans="1:4" x14ac:dyDescent="0.25">
      <c r="A1485" t="str">
        <f>T("870322")</f>
        <v>870322</v>
      </c>
      <c r="B1485" t="s">
        <v>20</v>
      </c>
    </row>
    <row r="1486" spans="1:4" x14ac:dyDescent="0.25">
      <c r="A1486" t="str">
        <f>T("   ZZZ_Monde")</f>
        <v xml:space="preserve">   ZZZ_Monde</v>
      </c>
      <c r="B1486" t="str">
        <f>T("   ZZZ_Monde")</f>
        <v xml:space="preserve">   ZZZ_Monde</v>
      </c>
      <c r="C1486">
        <v>74185377</v>
      </c>
      <c r="D1486">
        <v>89295</v>
      </c>
    </row>
    <row r="1487" spans="1:4" x14ac:dyDescent="0.25">
      <c r="A1487" t="str">
        <f>T("   BE")</f>
        <v xml:space="preserve">   BE</v>
      </c>
      <c r="B1487" t="str">
        <f>T("   Belgique")</f>
        <v xml:space="preserve">   Belgique</v>
      </c>
      <c r="C1487">
        <v>1200000</v>
      </c>
      <c r="D1487">
        <v>850</v>
      </c>
    </row>
    <row r="1488" spans="1:4" x14ac:dyDescent="0.25">
      <c r="A1488" t="str">
        <f>T("   BF")</f>
        <v xml:space="preserve">   BF</v>
      </c>
      <c r="B1488" t="str">
        <f>T("   Burkina Faso")</f>
        <v xml:space="preserve">   Burkina Faso</v>
      </c>
      <c r="C1488">
        <v>5487940</v>
      </c>
      <c r="D1488">
        <v>2579</v>
      </c>
    </row>
    <row r="1489" spans="1:4" x14ac:dyDescent="0.25">
      <c r="A1489" t="str">
        <f>T("   CG")</f>
        <v xml:space="preserve">   CG</v>
      </c>
      <c r="B1489" t="str">
        <f>T("   Congo (Brazzaville)")</f>
        <v xml:space="preserve">   Congo (Brazzaville)</v>
      </c>
      <c r="C1489">
        <v>5100000</v>
      </c>
      <c r="D1489">
        <v>7936</v>
      </c>
    </row>
    <row r="1490" spans="1:4" x14ac:dyDescent="0.25">
      <c r="A1490" t="str">
        <f>T("   CM")</f>
        <v xml:space="preserve">   CM</v>
      </c>
      <c r="B1490" t="str">
        <f>T("   Cameroun")</f>
        <v xml:space="preserve">   Cameroun</v>
      </c>
      <c r="C1490">
        <v>6700000</v>
      </c>
      <c r="D1490">
        <v>17159</v>
      </c>
    </row>
    <row r="1491" spans="1:4" x14ac:dyDescent="0.25">
      <c r="A1491" t="str">
        <f>T("   DK")</f>
        <v xml:space="preserve">   DK</v>
      </c>
      <c r="B1491" t="str">
        <f>T("   Danemark")</f>
        <v xml:space="preserve">   Danemark</v>
      </c>
      <c r="C1491">
        <v>1300000</v>
      </c>
      <c r="D1491">
        <v>1200</v>
      </c>
    </row>
    <row r="1492" spans="1:4" x14ac:dyDescent="0.25">
      <c r="A1492" t="str">
        <f>T("   FR")</f>
        <v xml:space="preserve">   FR</v>
      </c>
      <c r="B1492" t="str">
        <f>T("   France")</f>
        <v xml:space="preserve">   France</v>
      </c>
      <c r="C1492">
        <v>12604068</v>
      </c>
      <c r="D1492">
        <v>1330</v>
      </c>
    </row>
    <row r="1493" spans="1:4" x14ac:dyDescent="0.25">
      <c r="A1493" t="str">
        <f>T("   GA")</f>
        <v xml:space="preserve">   GA</v>
      </c>
      <c r="B1493" t="str">
        <f>T("   Gabon")</f>
        <v xml:space="preserve">   Gabon</v>
      </c>
      <c r="C1493">
        <v>15542058</v>
      </c>
      <c r="D1493">
        <v>15113</v>
      </c>
    </row>
    <row r="1494" spans="1:4" x14ac:dyDescent="0.25">
      <c r="A1494" t="str">
        <f>T("   GB")</f>
        <v xml:space="preserve">   GB</v>
      </c>
      <c r="B1494" t="str">
        <f>T("   Royaume-Uni")</f>
        <v xml:space="preserve">   Royaume-Uni</v>
      </c>
      <c r="C1494">
        <v>1200000</v>
      </c>
      <c r="D1494">
        <v>1100</v>
      </c>
    </row>
    <row r="1495" spans="1:4" x14ac:dyDescent="0.25">
      <c r="A1495" t="str">
        <f>T("   GN")</f>
        <v xml:space="preserve">   GN</v>
      </c>
      <c r="B1495" t="str">
        <f>T("   Guinée")</f>
        <v xml:space="preserve">   Guinée</v>
      </c>
      <c r="C1495">
        <v>2000000</v>
      </c>
      <c r="D1495">
        <v>1660</v>
      </c>
    </row>
    <row r="1496" spans="1:4" x14ac:dyDescent="0.25">
      <c r="A1496" t="str">
        <f>T("   GQ")</f>
        <v xml:space="preserve">   GQ</v>
      </c>
      <c r="B1496" t="str">
        <f>T("   Guinée Equatoriale")</f>
        <v xml:space="preserve">   Guinée Equatoriale</v>
      </c>
      <c r="C1496">
        <v>12651311</v>
      </c>
      <c r="D1496">
        <v>9373</v>
      </c>
    </row>
    <row r="1497" spans="1:4" x14ac:dyDescent="0.25">
      <c r="A1497" t="str">
        <f>T("   IN")</f>
        <v xml:space="preserve">   IN</v>
      </c>
      <c r="B1497" t="str">
        <f>T("   Inde")</f>
        <v xml:space="preserve">   Inde</v>
      </c>
      <c r="C1497">
        <v>2400000</v>
      </c>
      <c r="D1497">
        <v>2150</v>
      </c>
    </row>
    <row r="1498" spans="1:4" x14ac:dyDescent="0.25">
      <c r="A1498" t="str">
        <f>T("   LB")</f>
        <v xml:space="preserve">   LB</v>
      </c>
      <c r="B1498" t="str">
        <f>T("   Liban")</f>
        <v xml:space="preserve">   Liban</v>
      </c>
      <c r="C1498">
        <v>2000000</v>
      </c>
      <c r="D1498">
        <v>21500</v>
      </c>
    </row>
    <row r="1499" spans="1:4" x14ac:dyDescent="0.25">
      <c r="A1499" t="str">
        <f>T("   LY")</f>
        <v xml:space="preserve">   LY</v>
      </c>
      <c r="B1499" t="str">
        <f>T("   Libyenne, Jamahiriya Arabe")</f>
        <v xml:space="preserve">   Libyenne, Jamahiriya Arabe</v>
      </c>
      <c r="C1499">
        <v>3000000</v>
      </c>
      <c r="D1499">
        <v>4000</v>
      </c>
    </row>
    <row r="1500" spans="1:4" x14ac:dyDescent="0.25">
      <c r="A1500" t="str">
        <f>T("   NA")</f>
        <v xml:space="preserve">   NA</v>
      </c>
      <c r="B1500" t="str">
        <f>T("   Namibie")</f>
        <v xml:space="preserve">   Namibie</v>
      </c>
      <c r="C1500">
        <v>1000000</v>
      </c>
      <c r="D1500">
        <v>1000</v>
      </c>
    </row>
    <row r="1501" spans="1:4" x14ac:dyDescent="0.25">
      <c r="A1501" t="str">
        <f>T("   SN")</f>
        <v xml:space="preserve">   SN</v>
      </c>
      <c r="B1501" t="str">
        <f>T("   Sénégal")</f>
        <v xml:space="preserve">   Sénégal</v>
      </c>
      <c r="C1501">
        <v>1000000</v>
      </c>
      <c r="D1501">
        <v>1245</v>
      </c>
    </row>
    <row r="1502" spans="1:4" x14ac:dyDescent="0.25">
      <c r="A1502" t="str">
        <f>T("   TN")</f>
        <v xml:space="preserve">   TN</v>
      </c>
      <c r="B1502" t="str">
        <f>T("   Tunisie")</f>
        <v xml:space="preserve">   Tunisie</v>
      </c>
      <c r="C1502">
        <v>1000000</v>
      </c>
      <c r="D1502">
        <v>1100</v>
      </c>
    </row>
    <row r="1503" spans="1:4" x14ac:dyDescent="0.25">
      <c r="A1503" t="str">
        <f>T("870323")</f>
        <v>870323</v>
      </c>
      <c r="B1503" t="s">
        <v>21</v>
      </c>
    </row>
    <row r="1504" spans="1:4" x14ac:dyDescent="0.25">
      <c r="A1504" t="str">
        <f>T("   ZZZ_Monde")</f>
        <v xml:space="preserve">   ZZZ_Monde</v>
      </c>
      <c r="B1504" t="str">
        <f>T("   ZZZ_Monde")</f>
        <v xml:space="preserve">   ZZZ_Monde</v>
      </c>
      <c r="C1504">
        <v>183328855</v>
      </c>
      <c r="D1504">
        <v>54904</v>
      </c>
    </row>
    <row r="1505" spans="1:4" x14ac:dyDescent="0.25">
      <c r="A1505" t="str">
        <f>T("   BE")</f>
        <v xml:space="preserve">   BE</v>
      </c>
      <c r="B1505" t="str">
        <f>T("   Belgique")</f>
        <v xml:space="preserve">   Belgique</v>
      </c>
      <c r="C1505">
        <v>6282640</v>
      </c>
      <c r="D1505">
        <v>1820</v>
      </c>
    </row>
    <row r="1506" spans="1:4" x14ac:dyDescent="0.25">
      <c r="A1506" t="str">
        <f>T("   CD")</f>
        <v xml:space="preserve">   CD</v>
      </c>
      <c r="B1506" t="str">
        <f>T("   Congo, République Démocratique")</f>
        <v xml:space="preserve">   Congo, République Démocratique</v>
      </c>
      <c r="C1506">
        <v>6624436</v>
      </c>
      <c r="D1506">
        <v>2880</v>
      </c>
    </row>
    <row r="1507" spans="1:4" x14ac:dyDescent="0.25">
      <c r="A1507" t="str">
        <f>T("   CG")</f>
        <v xml:space="preserve">   CG</v>
      </c>
      <c r="B1507" t="str">
        <f>T("   Congo (Brazzaville)")</f>
        <v xml:space="preserve">   Congo (Brazzaville)</v>
      </c>
      <c r="C1507">
        <v>9962276</v>
      </c>
      <c r="D1507">
        <v>1814</v>
      </c>
    </row>
    <row r="1508" spans="1:4" x14ac:dyDescent="0.25">
      <c r="A1508" t="str">
        <f>T("   CI")</f>
        <v xml:space="preserve">   CI</v>
      </c>
      <c r="B1508" t="str">
        <f>T("   Côte d'Ivoire")</f>
        <v xml:space="preserve">   Côte d'Ivoire</v>
      </c>
      <c r="C1508">
        <v>40941540</v>
      </c>
      <c r="D1508">
        <v>4558</v>
      </c>
    </row>
    <row r="1509" spans="1:4" x14ac:dyDescent="0.25">
      <c r="A1509" t="str">
        <f>T("   CM")</f>
        <v xml:space="preserve">   CM</v>
      </c>
      <c r="B1509" t="str">
        <f>T("   Cameroun")</f>
        <v xml:space="preserve">   Cameroun</v>
      </c>
      <c r="C1509">
        <v>1000000</v>
      </c>
      <c r="D1509">
        <v>1850</v>
      </c>
    </row>
    <row r="1510" spans="1:4" x14ac:dyDescent="0.25">
      <c r="A1510" t="str">
        <f>T("   FR")</f>
        <v xml:space="preserve">   FR</v>
      </c>
      <c r="B1510" t="str">
        <f>T("   France")</f>
        <v xml:space="preserve">   France</v>
      </c>
      <c r="C1510">
        <v>14586669</v>
      </c>
      <c r="D1510">
        <v>5280</v>
      </c>
    </row>
    <row r="1511" spans="1:4" x14ac:dyDescent="0.25">
      <c r="A1511" t="str">
        <f>T("   GA")</f>
        <v xml:space="preserve">   GA</v>
      </c>
      <c r="B1511" t="str">
        <f>T("   Gabon")</f>
        <v xml:space="preserve">   Gabon</v>
      </c>
      <c r="C1511">
        <v>28086622</v>
      </c>
      <c r="D1511">
        <v>6370</v>
      </c>
    </row>
    <row r="1512" spans="1:4" x14ac:dyDescent="0.25">
      <c r="A1512" t="str">
        <f>T("   GH")</f>
        <v xml:space="preserve">   GH</v>
      </c>
      <c r="B1512" t="str">
        <f>T("   Ghana")</f>
        <v xml:space="preserve">   Ghana</v>
      </c>
      <c r="C1512">
        <v>8434575</v>
      </c>
      <c r="D1512">
        <v>3506</v>
      </c>
    </row>
    <row r="1513" spans="1:4" x14ac:dyDescent="0.25">
      <c r="A1513" t="str">
        <f>T("   GN")</f>
        <v xml:space="preserve">   GN</v>
      </c>
      <c r="B1513" t="str">
        <f>T("   Guinée")</f>
        <v xml:space="preserve">   Guinée</v>
      </c>
      <c r="C1513">
        <v>19242383</v>
      </c>
      <c r="D1513">
        <v>3080</v>
      </c>
    </row>
    <row r="1514" spans="1:4" x14ac:dyDescent="0.25">
      <c r="A1514" t="str">
        <f>T("   GQ")</f>
        <v xml:space="preserve">   GQ</v>
      </c>
      <c r="B1514" t="str">
        <f>T("   Guinée Equatoriale")</f>
        <v xml:space="preserve">   Guinée Equatoriale</v>
      </c>
      <c r="C1514">
        <v>3400000</v>
      </c>
      <c r="D1514">
        <v>8699</v>
      </c>
    </row>
    <row r="1515" spans="1:4" x14ac:dyDescent="0.25">
      <c r="A1515" t="str">
        <f>T("   GY")</f>
        <v xml:space="preserve">   GY</v>
      </c>
      <c r="B1515" t="str">
        <f>T("   Guyane")</f>
        <v xml:space="preserve">   Guyane</v>
      </c>
      <c r="C1515">
        <v>11188936</v>
      </c>
      <c r="D1515">
        <v>1340</v>
      </c>
    </row>
    <row r="1516" spans="1:4" x14ac:dyDescent="0.25">
      <c r="A1516" t="str">
        <f>T("   KE")</f>
        <v xml:space="preserve">   KE</v>
      </c>
      <c r="B1516" t="str">
        <f>T("   Kenya")</f>
        <v xml:space="preserve">   Kenya</v>
      </c>
      <c r="C1516">
        <v>8162226</v>
      </c>
      <c r="D1516">
        <v>4150</v>
      </c>
    </row>
    <row r="1517" spans="1:4" x14ac:dyDescent="0.25">
      <c r="A1517" t="str">
        <f>T("   LB")</f>
        <v xml:space="preserve">   LB</v>
      </c>
      <c r="B1517" t="str">
        <f>T("   Liban")</f>
        <v xml:space="preserve">   Liban</v>
      </c>
      <c r="C1517">
        <v>5805246</v>
      </c>
      <c r="D1517">
        <v>1500</v>
      </c>
    </row>
    <row r="1518" spans="1:4" x14ac:dyDescent="0.25">
      <c r="A1518" t="str">
        <f>T("   NE")</f>
        <v xml:space="preserve">   NE</v>
      </c>
      <c r="B1518" t="str">
        <f>T("   Niger")</f>
        <v xml:space="preserve">   Niger</v>
      </c>
      <c r="C1518">
        <v>6294035</v>
      </c>
      <c r="D1518">
        <v>1645</v>
      </c>
    </row>
    <row r="1519" spans="1:4" x14ac:dyDescent="0.25">
      <c r="A1519" t="str">
        <f>T("   SD")</f>
        <v xml:space="preserve">   SD</v>
      </c>
      <c r="B1519" t="str">
        <f>T("   Soudan")</f>
        <v xml:space="preserve">   Soudan</v>
      </c>
      <c r="C1519">
        <v>1200000</v>
      </c>
      <c r="D1519">
        <v>1370</v>
      </c>
    </row>
    <row r="1520" spans="1:4" x14ac:dyDescent="0.25">
      <c r="A1520" t="str">
        <f>T("   US")</f>
        <v xml:space="preserve">   US</v>
      </c>
      <c r="B1520" t="str">
        <f>T("   Etats-Unis")</f>
        <v xml:space="preserve">   Etats-Unis</v>
      </c>
      <c r="C1520">
        <v>12117271</v>
      </c>
      <c r="D1520">
        <v>5042</v>
      </c>
    </row>
    <row r="1521" spans="1:4" x14ac:dyDescent="0.25">
      <c r="A1521" t="str">
        <f>T("870324")</f>
        <v>870324</v>
      </c>
      <c r="B1521" t="s">
        <v>22</v>
      </c>
    </row>
    <row r="1522" spans="1:4" x14ac:dyDescent="0.25">
      <c r="A1522" t="str">
        <f>T("   ZZZ_Monde")</f>
        <v xml:space="preserve">   ZZZ_Monde</v>
      </c>
      <c r="B1522" t="str">
        <f>T("   ZZZ_Monde")</f>
        <v xml:space="preserve">   ZZZ_Monde</v>
      </c>
      <c r="C1522">
        <v>294836426</v>
      </c>
      <c r="D1522">
        <v>23068</v>
      </c>
    </row>
    <row r="1523" spans="1:4" x14ac:dyDescent="0.25">
      <c r="A1523" t="str">
        <f>T("   CM")</f>
        <v xml:space="preserve">   CM</v>
      </c>
      <c r="B1523" t="str">
        <f>T("   Cameroun")</f>
        <v xml:space="preserve">   Cameroun</v>
      </c>
      <c r="C1523">
        <v>4638442</v>
      </c>
      <c r="D1523">
        <v>1800</v>
      </c>
    </row>
    <row r="1524" spans="1:4" x14ac:dyDescent="0.25">
      <c r="A1524" t="str">
        <f>T("   FR")</f>
        <v xml:space="preserve">   FR</v>
      </c>
      <c r="B1524" t="str">
        <f>T("   France")</f>
        <v xml:space="preserve">   France</v>
      </c>
      <c r="C1524">
        <v>222025894</v>
      </c>
      <c r="D1524">
        <v>4400</v>
      </c>
    </row>
    <row r="1525" spans="1:4" x14ac:dyDescent="0.25">
      <c r="A1525" t="str">
        <f>T("   GA")</f>
        <v xml:space="preserve">   GA</v>
      </c>
      <c r="B1525" t="str">
        <f>T("   Gabon")</f>
        <v xml:space="preserve">   Gabon</v>
      </c>
      <c r="C1525">
        <v>26264096</v>
      </c>
      <c r="D1525">
        <v>5433</v>
      </c>
    </row>
    <row r="1526" spans="1:4" x14ac:dyDescent="0.25">
      <c r="A1526" t="str">
        <f>T("   NE")</f>
        <v xml:space="preserve">   NE</v>
      </c>
      <c r="B1526" t="str">
        <f>T("   Niger")</f>
        <v xml:space="preserve">   Niger</v>
      </c>
      <c r="C1526">
        <v>19145043</v>
      </c>
      <c r="D1526">
        <v>8675</v>
      </c>
    </row>
    <row r="1527" spans="1:4" x14ac:dyDescent="0.25">
      <c r="A1527" t="str">
        <f>T("   NL")</f>
        <v xml:space="preserve">   NL</v>
      </c>
      <c r="B1527" t="str">
        <f>T("   Pays-bas")</f>
        <v xml:space="preserve">   Pays-bas</v>
      </c>
      <c r="C1527">
        <v>22762951</v>
      </c>
      <c r="D1527">
        <v>2760</v>
      </c>
    </row>
    <row r="1528" spans="1:4" x14ac:dyDescent="0.25">
      <c r="A1528" t="str">
        <f>T("870331")</f>
        <v>870331</v>
      </c>
      <c r="B1528" t="s">
        <v>23</v>
      </c>
    </row>
    <row r="1529" spans="1:4" x14ac:dyDescent="0.25">
      <c r="A1529" t="str">
        <f>T("   ZZZ_Monde")</f>
        <v xml:space="preserve">   ZZZ_Monde</v>
      </c>
      <c r="B1529" t="str">
        <f>T("   ZZZ_Monde")</f>
        <v xml:space="preserve">   ZZZ_Monde</v>
      </c>
      <c r="C1529">
        <v>5768186</v>
      </c>
      <c r="D1529">
        <v>1320</v>
      </c>
    </row>
    <row r="1530" spans="1:4" x14ac:dyDescent="0.25">
      <c r="A1530" t="str">
        <f>T("   BE")</f>
        <v xml:space="preserve">   BE</v>
      </c>
      <c r="B1530" t="str">
        <f>T("   Belgique")</f>
        <v xml:space="preserve">   Belgique</v>
      </c>
      <c r="C1530">
        <v>5768186</v>
      </c>
      <c r="D1530">
        <v>1320</v>
      </c>
    </row>
    <row r="1531" spans="1:4" x14ac:dyDescent="0.25">
      <c r="A1531" t="str">
        <f>T("870332")</f>
        <v>870332</v>
      </c>
      <c r="B1531" t="s">
        <v>24</v>
      </c>
    </row>
    <row r="1532" spans="1:4" x14ac:dyDescent="0.25">
      <c r="A1532" t="str">
        <f>T("   ZZZ_Monde")</f>
        <v xml:space="preserve">   ZZZ_Monde</v>
      </c>
      <c r="B1532" t="str">
        <f>T("   ZZZ_Monde")</f>
        <v xml:space="preserve">   ZZZ_Monde</v>
      </c>
      <c r="C1532">
        <v>16063623</v>
      </c>
      <c r="D1532">
        <v>1970</v>
      </c>
    </row>
    <row r="1533" spans="1:4" x14ac:dyDescent="0.25">
      <c r="A1533" t="str">
        <f>T("   AE")</f>
        <v xml:space="preserve">   AE</v>
      </c>
      <c r="B1533" t="str">
        <f>T("   Emirats Arabes Unis")</f>
        <v xml:space="preserve">   Emirats Arabes Unis</v>
      </c>
      <c r="C1533">
        <v>16063623</v>
      </c>
      <c r="D1533">
        <v>1970</v>
      </c>
    </row>
    <row r="1534" spans="1:4" x14ac:dyDescent="0.25">
      <c r="A1534" t="str">
        <f>T("870421")</f>
        <v>870421</v>
      </c>
      <c r="B1534" t="s">
        <v>25</v>
      </c>
    </row>
    <row r="1535" spans="1:4" x14ac:dyDescent="0.25">
      <c r="A1535" t="str">
        <f>T("   ZZZ_Monde")</f>
        <v xml:space="preserve">   ZZZ_Monde</v>
      </c>
      <c r="B1535" t="str">
        <f>T("   ZZZ_Monde")</f>
        <v xml:space="preserve">   ZZZ_Monde</v>
      </c>
      <c r="C1535">
        <v>22265820</v>
      </c>
      <c r="D1535">
        <v>10665</v>
      </c>
    </row>
    <row r="1536" spans="1:4" x14ac:dyDescent="0.25">
      <c r="A1536" t="str">
        <f>T("   CD")</f>
        <v xml:space="preserve">   CD</v>
      </c>
      <c r="B1536" t="str">
        <f>T("   Congo, République Démocratique")</f>
        <v xml:space="preserve">   Congo, République Démocratique</v>
      </c>
      <c r="C1536">
        <v>1000000</v>
      </c>
      <c r="D1536">
        <v>1870</v>
      </c>
    </row>
    <row r="1537" spans="1:4" x14ac:dyDescent="0.25">
      <c r="A1537" t="str">
        <f>T("   CI")</f>
        <v xml:space="preserve">   CI</v>
      </c>
      <c r="B1537" t="str">
        <f>T("   Côte d'Ivoire")</f>
        <v xml:space="preserve">   Côte d'Ivoire</v>
      </c>
      <c r="C1537">
        <v>5899046</v>
      </c>
      <c r="D1537">
        <v>1790</v>
      </c>
    </row>
    <row r="1538" spans="1:4" x14ac:dyDescent="0.25">
      <c r="A1538" t="str">
        <f>T("   GQ")</f>
        <v xml:space="preserve">   GQ</v>
      </c>
      <c r="B1538" t="str">
        <f>T("   Guinée Equatoriale")</f>
        <v xml:space="preserve">   Guinée Equatoriale</v>
      </c>
      <c r="C1538">
        <v>1000000</v>
      </c>
      <c r="D1538">
        <v>3540</v>
      </c>
    </row>
    <row r="1539" spans="1:4" x14ac:dyDescent="0.25">
      <c r="A1539" t="str">
        <f>T("   SN")</f>
        <v xml:space="preserve">   SN</v>
      </c>
      <c r="B1539" t="str">
        <f>T("   Sénégal")</f>
        <v xml:space="preserve">   Sénégal</v>
      </c>
      <c r="C1539">
        <v>14366774</v>
      </c>
      <c r="D1539">
        <v>3465</v>
      </c>
    </row>
    <row r="1540" spans="1:4" x14ac:dyDescent="0.25">
      <c r="A1540" t="str">
        <f>T("870422")</f>
        <v>870422</v>
      </c>
      <c r="B1540" t="s">
        <v>26</v>
      </c>
    </row>
    <row r="1541" spans="1:4" x14ac:dyDescent="0.25">
      <c r="A1541" t="str">
        <f>T("   ZZZ_Monde")</f>
        <v xml:space="preserve">   ZZZ_Monde</v>
      </c>
      <c r="B1541" t="str">
        <f>T("   ZZZ_Monde")</f>
        <v xml:space="preserve">   ZZZ_Monde</v>
      </c>
      <c r="C1541">
        <v>2329887</v>
      </c>
      <c r="D1541">
        <v>29745</v>
      </c>
    </row>
    <row r="1542" spans="1:4" x14ac:dyDescent="0.25">
      <c r="A1542" t="str">
        <f>T("   BF")</f>
        <v xml:space="preserve">   BF</v>
      </c>
      <c r="B1542" t="str">
        <f>T("   Burkina Faso")</f>
        <v xml:space="preserve">   Burkina Faso</v>
      </c>
      <c r="C1542">
        <v>1775834</v>
      </c>
      <c r="D1542">
        <v>10657</v>
      </c>
    </row>
    <row r="1543" spans="1:4" x14ac:dyDescent="0.25">
      <c r="A1543" t="str">
        <f>T("   CI")</f>
        <v xml:space="preserve">   CI</v>
      </c>
      <c r="B1543" t="str">
        <f>T("   Côte d'Ivoire")</f>
        <v xml:space="preserve">   Côte d'Ivoire</v>
      </c>
      <c r="C1543">
        <v>307200</v>
      </c>
      <c r="D1543">
        <v>12130</v>
      </c>
    </row>
    <row r="1544" spans="1:4" x14ac:dyDescent="0.25">
      <c r="A1544" t="str">
        <f>T("   TG")</f>
        <v xml:space="preserve">   TG</v>
      </c>
      <c r="B1544" t="str">
        <f>T("   Togo")</f>
        <v xml:space="preserve">   Togo</v>
      </c>
      <c r="C1544">
        <v>246853</v>
      </c>
      <c r="D1544">
        <v>6958</v>
      </c>
    </row>
    <row r="1545" spans="1:4" x14ac:dyDescent="0.25">
      <c r="A1545" t="str">
        <f>T("870423")</f>
        <v>870423</v>
      </c>
      <c r="B1545" t="s">
        <v>27</v>
      </c>
    </row>
    <row r="1546" spans="1:4" x14ac:dyDescent="0.25">
      <c r="A1546" t="str">
        <f>T("   ZZZ_Monde")</f>
        <v xml:space="preserve">   ZZZ_Monde</v>
      </c>
      <c r="B1546" t="str">
        <f>T("   ZZZ_Monde")</f>
        <v xml:space="preserve">   ZZZ_Monde</v>
      </c>
      <c r="C1546">
        <v>77296647</v>
      </c>
      <c r="D1546">
        <v>240332.75</v>
      </c>
    </row>
    <row r="1547" spans="1:4" x14ac:dyDescent="0.25">
      <c r="A1547" t="str">
        <f>T("   BF")</f>
        <v xml:space="preserve">   BF</v>
      </c>
      <c r="B1547" t="str">
        <f>T("   Burkina Faso")</f>
        <v xml:space="preserve">   Burkina Faso</v>
      </c>
      <c r="C1547">
        <v>57951600</v>
      </c>
      <c r="D1547">
        <v>96000</v>
      </c>
    </row>
    <row r="1548" spans="1:4" x14ac:dyDescent="0.25">
      <c r="A1548" t="str">
        <f>T("   CG")</f>
        <v xml:space="preserve">   CG</v>
      </c>
      <c r="B1548" t="str">
        <f>T("   Congo (Brazzaville)")</f>
        <v xml:space="preserve">   Congo (Brazzaville)</v>
      </c>
      <c r="C1548">
        <v>9672524</v>
      </c>
      <c r="D1548">
        <v>72167</v>
      </c>
    </row>
    <row r="1549" spans="1:4" x14ac:dyDescent="0.25">
      <c r="A1549" t="str">
        <f>T("   NG")</f>
        <v xml:space="preserve">   NG</v>
      </c>
      <c r="B1549" t="str">
        <f>T("   Nigéria")</f>
        <v xml:space="preserve">   Nigéria</v>
      </c>
      <c r="C1549">
        <v>9672523</v>
      </c>
      <c r="D1549">
        <v>72165.75</v>
      </c>
    </row>
    <row r="1550" spans="1:4" x14ac:dyDescent="0.25">
      <c r="A1550" t="str">
        <f>T("870431")</f>
        <v>870431</v>
      </c>
      <c r="B1550" t="s">
        <v>28</v>
      </c>
    </row>
    <row r="1551" spans="1:4" x14ac:dyDescent="0.25">
      <c r="A1551" t="str">
        <f>T("   ZZZ_Monde")</f>
        <v xml:space="preserve">   ZZZ_Monde</v>
      </c>
      <c r="B1551" t="str">
        <f>T("   ZZZ_Monde")</f>
        <v xml:space="preserve">   ZZZ_Monde</v>
      </c>
      <c r="C1551">
        <v>9128548</v>
      </c>
      <c r="D1551">
        <v>3960</v>
      </c>
    </row>
    <row r="1552" spans="1:4" x14ac:dyDescent="0.25">
      <c r="A1552" t="str">
        <f>T("   CD")</f>
        <v xml:space="preserve">   CD</v>
      </c>
      <c r="B1552" t="str">
        <f>T("   Congo, République Démocratique")</f>
        <v xml:space="preserve">   Congo, République Démocratique</v>
      </c>
      <c r="C1552">
        <v>2000000</v>
      </c>
      <c r="D1552">
        <v>2180</v>
      </c>
    </row>
    <row r="1553" spans="1:4" x14ac:dyDescent="0.25">
      <c r="A1553" t="str">
        <f>T("   CG")</f>
        <v xml:space="preserve">   CG</v>
      </c>
      <c r="B1553" t="str">
        <f>T("   Congo (Brazzaville)")</f>
        <v xml:space="preserve">   Congo (Brazzaville)</v>
      </c>
      <c r="C1553">
        <v>7128548</v>
      </c>
      <c r="D1553">
        <v>1780</v>
      </c>
    </row>
    <row r="1554" spans="1:4" x14ac:dyDescent="0.25">
      <c r="A1554" t="str">
        <f>T("870510")</f>
        <v>870510</v>
      </c>
      <c r="B1554" t="str">
        <f>T("Camions-grues (sauf dépanneuses)")</f>
        <v>Camions-grues (sauf dépanneuses)</v>
      </c>
    </row>
    <row r="1555" spans="1:4" x14ac:dyDescent="0.25">
      <c r="A1555" t="str">
        <f>T("   ZZZ_Monde")</f>
        <v xml:space="preserve">   ZZZ_Monde</v>
      </c>
      <c r="B1555" t="str">
        <f>T("   ZZZ_Monde")</f>
        <v xml:space="preserve">   ZZZ_Monde</v>
      </c>
      <c r="C1555">
        <v>37669794</v>
      </c>
      <c r="D1555">
        <v>21380</v>
      </c>
    </row>
    <row r="1556" spans="1:4" x14ac:dyDescent="0.25">
      <c r="A1556" t="str">
        <f>T("   CI")</f>
        <v xml:space="preserve">   CI</v>
      </c>
      <c r="B1556" t="str">
        <f>T("   Côte d'Ivoire")</f>
        <v xml:space="preserve">   Côte d'Ivoire</v>
      </c>
      <c r="C1556">
        <v>37669794</v>
      </c>
      <c r="D1556">
        <v>21380</v>
      </c>
    </row>
    <row r="1557" spans="1:4" x14ac:dyDescent="0.25">
      <c r="A1557" t="str">
        <f>T("870540")</f>
        <v>870540</v>
      </c>
      <c r="B1557" t="str">
        <f>T("Camions-bétonnières")</f>
        <v>Camions-bétonnières</v>
      </c>
    </row>
    <row r="1558" spans="1:4" x14ac:dyDescent="0.25">
      <c r="A1558" t="str">
        <f>T("   ZZZ_Monde")</f>
        <v xml:space="preserve">   ZZZ_Monde</v>
      </c>
      <c r="B1558" t="str">
        <f>T("   ZZZ_Monde")</f>
        <v xml:space="preserve">   ZZZ_Monde</v>
      </c>
      <c r="C1558">
        <v>97546501</v>
      </c>
      <c r="D1558">
        <v>29600</v>
      </c>
    </row>
    <row r="1559" spans="1:4" x14ac:dyDescent="0.25">
      <c r="A1559" t="str">
        <f>T("   BF")</f>
        <v xml:space="preserve">   BF</v>
      </c>
      <c r="B1559" t="str">
        <f>T("   Burkina Faso")</f>
        <v xml:space="preserve">   Burkina Faso</v>
      </c>
      <c r="C1559">
        <v>97546501</v>
      </c>
      <c r="D1559">
        <v>29600</v>
      </c>
    </row>
    <row r="1560" spans="1:4" x14ac:dyDescent="0.25">
      <c r="A1560" t="str">
        <f>T("870590")</f>
        <v>870590</v>
      </c>
      <c r="B1560"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561" spans="1:4" x14ac:dyDescent="0.25">
      <c r="A1561" t="str">
        <f>T("   ZZZ_Monde")</f>
        <v xml:space="preserve">   ZZZ_Monde</v>
      </c>
      <c r="B1561" t="str">
        <f>T("   ZZZ_Monde")</f>
        <v xml:space="preserve">   ZZZ_Monde</v>
      </c>
      <c r="C1561">
        <v>63237666</v>
      </c>
      <c r="D1561">
        <v>16150</v>
      </c>
    </row>
    <row r="1562" spans="1:4" x14ac:dyDescent="0.25">
      <c r="A1562" t="str">
        <f>T("   DE")</f>
        <v xml:space="preserve">   DE</v>
      </c>
      <c r="B1562" t="str">
        <f>T("   Allemagne")</f>
        <v xml:space="preserve">   Allemagne</v>
      </c>
      <c r="C1562">
        <v>60837666</v>
      </c>
      <c r="D1562">
        <v>6150</v>
      </c>
    </row>
    <row r="1563" spans="1:4" x14ac:dyDescent="0.25">
      <c r="A1563" t="str">
        <f>T("   LB")</f>
        <v xml:space="preserve">   LB</v>
      </c>
      <c r="B1563" t="str">
        <f>T("   Liban")</f>
        <v xml:space="preserve">   Liban</v>
      </c>
      <c r="C1563">
        <v>2400000</v>
      </c>
      <c r="D1563">
        <v>10000</v>
      </c>
    </row>
    <row r="1564" spans="1:4" x14ac:dyDescent="0.25">
      <c r="A1564" t="str">
        <f>T("870600")</f>
        <v>870600</v>
      </c>
      <c r="B1564"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565" spans="1:4" x14ac:dyDescent="0.25">
      <c r="A1565" t="str">
        <f>T("   ZZZ_Monde")</f>
        <v xml:space="preserve">   ZZZ_Monde</v>
      </c>
      <c r="B1565" t="str">
        <f>T("   ZZZ_Monde")</f>
        <v xml:space="preserve">   ZZZ_Monde</v>
      </c>
      <c r="C1565">
        <v>3800000</v>
      </c>
      <c r="D1565">
        <v>3730</v>
      </c>
    </row>
    <row r="1566" spans="1:4" x14ac:dyDescent="0.25">
      <c r="A1566" t="str">
        <f>T("   GA")</f>
        <v xml:space="preserve">   GA</v>
      </c>
      <c r="B1566" t="str">
        <f>T("   Gabon")</f>
        <v xml:space="preserve">   Gabon</v>
      </c>
      <c r="C1566">
        <v>3300000</v>
      </c>
      <c r="D1566">
        <v>3660</v>
      </c>
    </row>
    <row r="1567" spans="1:4" x14ac:dyDescent="0.25">
      <c r="A1567" t="str">
        <f>T("   GQ")</f>
        <v xml:space="preserve">   GQ</v>
      </c>
      <c r="B1567" t="str">
        <f>T("   Guinée Equatoriale")</f>
        <v xml:space="preserve">   Guinée Equatoriale</v>
      </c>
      <c r="C1567">
        <v>500000</v>
      </c>
      <c r="D1567">
        <v>70</v>
      </c>
    </row>
    <row r="1568" spans="1:4" x14ac:dyDescent="0.25">
      <c r="A1568" t="str">
        <f>T("870899")</f>
        <v>870899</v>
      </c>
      <c r="B1568"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569" spans="1:4" x14ac:dyDescent="0.25">
      <c r="A1569" t="str">
        <f>T("   ZZZ_Monde")</f>
        <v xml:space="preserve">   ZZZ_Monde</v>
      </c>
      <c r="B1569" t="str">
        <f>T("   ZZZ_Monde")</f>
        <v xml:space="preserve">   ZZZ_Monde</v>
      </c>
      <c r="C1569">
        <v>7776200</v>
      </c>
      <c r="D1569">
        <v>56500</v>
      </c>
    </row>
    <row r="1570" spans="1:4" x14ac:dyDescent="0.25">
      <c r="A1570" t="str">
        <f>T("   GA")</f>
        <v xml:space="preserve">   GA</v>
      </c>
      <c r="B1570" t="str">
        <f>T("   Gabon")</f>
        <v xml:space="preserve">   Gabon</v>
      </c>
      <c r="C1570">
        <v>460000</v>
      </c>
      <c r="D1570">
        <v>26000</v>
      </c>
    </row>
    <row r="1571" spans="1:4" x14ac:dyDescent="0.25">
      <c r="A1571" t="str">
        <f>T("   GQ")</f>
        <v xml:space="preserve">   GQ</v>
      </c>
      <c r="B1571" t="str">
        <f>T("   Guinée Equatoriale")</f>
        <v xml:space="preserve">   Guinée Equatoriale</v>
      </c>
      <c r="C1571">
        <v>2816200</v>
      </c>
      <c r="D1571">
        <v>3000</v>
      </c>
    </row>
    <row r="1572" spans="1:4" x14ac:dyDescent="0.25">
      <c r="A1572" t="str">
        <f>T("   LB")</f>
        <v xml:space="preserve">   LB</v>
      </c>
      <c r="B1572" t="str">
        <f>T("   Liban")</f>
        <v xml:space="preserve">   Liban</v>
      </c>
      <c r="C1572">
        <v>4500000</v>
      </c>
      <c r="D1572">
        <v>27500</v>
      </c>
    </row>
    <row r="1573" spans="1:4" x14ac:dyDescent="0.25">
      <c r="A1573" t="str">
        <f>T("871120")</f>
        <v>871120</v>
      </c>
      <c r="B1573" t="str">
        <f>T("Motocycles à moteur à piston alternatif, cylindrée &gt; 50 cm³ mais &lt;= 250 cm³")</f>
        <v>Motocycles à moteur à piston alternatif, cylindrée &gt; 50 cm³ mais &lt;= 250 cm³</v>
      </c>
    </row>
    <row r="1574" spans="1:4" x14ac:dyDescent="0.25">
      <c r="A1574" t="str">
        <f>T("   ZZZ_Monde")</f>
        <v xml:space="preserve">   ZZZ_Monde</v>
      </c>
      <c r="B1574" t="str">
        <f>T("   ZZZ_Monde")</f>
        <v xml:space="preserve">   ZZZ_Monde</v>
      </c>
      <c r="C1574">
        <v>116095389</v>
      </c>
      <c r="D1574">
        <v>67599</v>
      </c>
    </row>
    <row r="1575" spans="1:4" x14ac:dyDescent="0.25">
      <c r="A1575" t="str">
        <f>T("   CH")</f>
        <v xml:space="preserve">   CH</v>
      </c>
      <c r="B1575" t="str">
        <f>T("   Suisse")</f>
        <v xml:space="preserve">   Suisse</v>
      </c>
      <c r="C1575">
        <v>72720271</v>
      </c>
      <c r="D1575">
        <v>40000</v>
      </c>
    </row>
    <row r="1576" spans="1:4" x14ac:dyDescent="0.25">
      <c r="A1576" t="str">
        <f>T("   FR")</f>
        <v xml:space="preserve">   FR</v>
      </c>
      <c r="B1576" t="str">
        <f>T("   France")</f>
        <v xml:space="preserve">   France</v>
      </c>
      <c r="C1576">
        <v>1650000</v>
      </c>
      <c r="D1576">
        <v>450</v>
      </c>
    </row>
    <row r="1577" spans="1:4" x14ac:dyDescent="0.25">
      <c r="A1577" t="str">
        <f>T("   GA")</f>
        <v xml:space="preserve">   GA</v>
      </c>
      <c r="B1577" t="str">
        <f>T("   Gabon")</f>
        <v xml:space="preserve">   Gabon</v>
      </c>
      <c r="C1577">
        <v>3850000</v>
      </c>
      <c r="D1577">
        <v>3032</v>
      </c>
    </row>
    <row r="1578" spans="1:4" x14ac:dyDescent="0.25">
      <c r="A1578" t="str">
        <f>T("   GN")</f>
        <v xml:space="preserve">   GN</v>
      </c>
      <c r="B1578" t="str">
        <f>T("   Guinée")</f>
        <v xml:space="preserve">   Guinée</v>
      </c>
      <c r="C1578">
        <v>15060118</v>
      </c>
      <c r="D1578">
        <v>8255</v>
      </c>
    </row>
    <row r="1579" spans="1:4" x14ac:dyDescent="0.25">
      <c r="A1579" t="str">
        <f>T("   GQ")</f>
        <v xml:space="preserve">   GQ</v>
      </c>
      <c r="B1579" t="str">
        <f>T("   Guinée Equatoriale")</f>
        <v xml:space="preserve">   Guinée Equatoriale</v>
      </c>
      <c r="C1579">
        <v>285000</v>
      </c>
      <c r="D1579">
        <v>80</v>
      </c>
    </row>
    <row r="1580" spans="1:4" x14ac:dyDescent="0.25">
      <c r="A1580" t="str">
        <f>T("   NE")</f>
        <v xml:space="preserve">   NE</v>
      </c>
      <c r="B1580" t="str">
        <f>T("   Niger")</f>
        <v xml:space="preserve">   Niger</v>
      </c>
      <c r="C1580">
        <v>210000</v>
      </c>
      <c r="D1580">
        <v>220</v>
      </c>
    </row>
    <row r="1581" spans="1:4" x14ac:dyDescent="0.25">
      <c r="A1581" t="str">
        <f>T("   TG")</f>
        <v xml:space="preserve">   TG</v>
      </c>
      <c r="B1581" t="str">
        <f>T("   Togo")</f>
        <v xml:space="preserve">   Togo</v>
      </c>
      <c r="C1581">
        <v>22320000</v>
      </c>
      <c r="D1581">
        <v>15562</v>
      </c>
    </row>
    <row r="1582" spans="1:4" x14ac:dyDescent="0.25">
      <c r="A1582" t="str">
        <f>T("871130")</f>
        <v>871130</v>
      </c>
      <c r="B1582" t="str">
        <f>T("Motocycles à moteur à piston alternatif, cylindrée &gt; 250 cm³ mais &lt;= 500 cm³")</f>
        <v>Motocycles à moteur à piston alternatif, cylindrée &gt; 250 cm³ mais &lt;= 500 cm³</v>
      </c>
    </row>
    <row r="1583" spans="1:4" x14ac:dyDescent="0.25">
      <c r="A1583" t="str">
        <f>T("   ZZZ_Monde")</f>
        <v xml:space="preserve">   ZZZ_Monde</v>
      </c>
      <c r="B1583" t="str">
        <f>T("   ZZZ_Monde")</f>
        <v xml:space="preserve">   ZZZ_Monde</v>
      </c>
      <c r="C1583">
        <v>6121713</v>
      </c>
      <c r="D1583">
        <v>500</v>
      </c>
    </row>
    <row r="1584" spans="1:4" x14ac:dyDescent="0.25">
      <c r="A1584" t="str">
        <f>T("   GA")</f>
        <v xml:space="preserve">   GA</v>
      </c>
      <c r="B1584" t="str">
        <f>T("   Gabon")</f>
        <v xml:space="preserve">   Gabon</v>
      </c>
      <c r="C1584">
        <v>6121713</v>
      </c>
      <c r="D1584">
        <v>500</v>
      </c>
    </row>
    <row r="1585" spans="1:4" x14ac:dyDescent="0.25">
      <c r="A1585" t="str">
        <f>T("871140")</f>
        <v>871140</v>
      </c>
      <c r="B1585" t="str">
        <f>T("Motocycles à moteur à piston alternatif, cylindrée &gt; 500 cm³ mais &lt;= 800 cm³")</f>
        <v>Motocycles à moteur à piston alternatif, cylindrée &gt; 500 cm³ mais &lt;= 800 cm³</v>
      </c>
    </row>
    <row r="1586" spans="1:4" x14ac:dyDescent="0.25">
      <c r="A1586" t="str">
        <f>T("   ZZZ_Monde")</f>
        <v xml:space="preserve">   ZZZ_Monde</v>
      </c>
      <c r="B1586" t="str">
        <f>T("   ZZZ_Monde")</f>
        <v xml:space="preserve">   ZZZ_Monde</v>
      </c>
      <c r="C1586">
        <v>14941741</v>
      </c>
      <c r="D1586">
        <v>5500</v>
      </c>
    </row>
    <row r="1587" spans="1:4" x14ac:dyDescent="0.25">
      <c r="A1587" t="str">
        <f>T("   FR")</f>
        <v xml:space="preserve">   FR</v>
      </c>
      <c r="B1587" t="str">
        <f>T("   France")</f>
        <v xml:space="preserve">   France</v>
      </c>
      <c r="C1587">
        <v>5958437</v>
      </c>
      <c r="D1587">
        <v>5000</v>
      </c>
    </row>
    <row r="1588" spans="1:4" x14ac:dyDescent="0.25">
      <c r="A1588" t="str">
        <f>T("   GA")</f>
        <v xml:space="preserve">   GA</v>
      </c>
      <c r="B1588" t="str">
        <f>T("   Gabon")</f>
        <v xml:space="preserve">   Gabon</v>
      </c>
      <c r="C1588">
        <v>8983304</v>
      </c>
      <c r="D1588">
        <v>500</v>
      </c>
    </row>
    <row r="1589" spans="1:4" x14ac:dyDescent="0.25">
      <c r="A1589" t="str">
        <f>T("871190")</f>
        <v>871190</v>
      </c>
      <c r="B1589" t="str">
        <f>T("Side-cars")</f>
        <v>Side-cars</v>
      </c>
    </row>
    <row r="1590" spans="1:4" x14ac:dyDescent="0.25">
      <c r="A1590" t="str">
        <f>T("   ZZZ_Monde")</f>
        <v xml:space="preserve">   ZZZ_Monde</v>
      </c>
      <c r="B1590" t="str">
        <f>T("   ZZZ_Monde")</f>
        <v xml:space="preserve">   ZZZ_Monde</v>
      </c>
      <c r="C1590">
        <v>1100000</v>
      </c>
      <c r="D1590">
        <v>800</v>
      </c>
    </row>
    <row r="1591" spans="1:4" x14ac:dyDescent="0.25">
      <c r="A1591" t="str">
        <f>T("   CI")</f>
        <v xml:space="preserve">   CI</v>
      </c>
      <c r="B1591" t="str">
        <f>T("   Côte d'Ivoire")</f>
        <v xml:space="preserve">   Côte d'Ivoire</v>
      </c>
      <c r="C1591">
        <v>800000</v>
      </c>
      <c r="D1591">
        <v>200</v>
      </c>
    </row>
    <row r="1592" spans="1:4" x14ac:dyDescent="0.25">
      <c r="A1592" t="str">
        <f>T("   FR")</f>
        <v xml:space="preserve">   FR</v>
      </c>
      <c r="B1592" t="str">
        <f>T("   France")</f>
        <v xml:space="preserve">   France</v>
      </c>
      <c r="C1592">
        <v>300000</v>
      </c>
      <c r="D1592">
        <v>600</v>
      </c>
    </row>
    <row r="1593" spans="1:4" x14ac:dyDescent="0.25">
      <c r="A1593" t="str">
        <f>T("871419")</f>
        <v>871419</v>
      </c>
      <c r="B1593" t="str">
        <f>T("Parties et accessoires de motocycles, y.c. de cyclomoteurs, n.d.a.")</f>
        <v>Parties et accessoires de motocycles, y.c. de cyclomoteurs, n.d.a.</v>
      </c>
    </row>
    <row r="1594" spans="1:4" x14ac:dyDescent="0.25">
      <c r="A1594" t="str">
        <f>T("   ZZZ_Monde")</f>
        <v xml:space="preserve">   ZZZ_Monde</v>
      </c>
      <c r="B1594" t="str">
        <f>T("   ZZZ_Monde")</f>
        <v xml:space="preserve">   ZZZ_Monde</v>
      </c>
      <c r="C1594">
        <v>1000000</v>
      </c>
      <c r="D1594">
        <v>18915</v>
      </c>
    </row>
    <row r="1595" spans="1:4" x14ac:dyDescent="0.25">
      <c r="A1595" t="str">
        <f>T("   MG")</f>
        <v xml:space="preserve">   MG</v>
      </c>
      <c r="B1595" t="str">
        <f>T("   Madagascar")</f>
        <v xml:space="preserve">   Madagascar</v>
      </c>
      <c r="C1595">
        <v>1000000</v>
      </c>
      <c r="D1595">
        <v>18915</v>
      </c>
    </row>
    <row r="1596" spans="1:4" x14ac:dyDescent="0.25">
      <c r="A1596" t="str">
        <f>T("871640")</f>
        <v>871640</v>
      </c>
      <c r="B1596"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597" spans="1:4" x14ac:dyDescent="0.25">
      <c r="A1597" t="str">
        <f>T("   ZZZ_Monde")</f>
        <v xml:space="preserve">   ZZZ_Monde</v>
      </c>
      <c r="B1597" t="str">
        <f>T("   ZZZ_Monde")</f>
        <v xml:space="preserve">   ZZZ_Monde</v>
      </c>
      <c r="C1597">
        <v>315492</v>
      </c>
      <c r="D1597">
        <v>12500</v>
      </c>
    </row>
    <row r="1598" spans="1:4" x14ac:dyDescent="0.25">
      <c r="A1598" t="str">
        <f>T("   BF")</f>
        <v xml:space="preserve">   BF</v>
      </c>
      <c r="B1598" t="str">
        <f>T("   Burkina Faso")</f>
        <v xml:space="preserve">   Burkina Faso</v>
      </c>
      <c r="C1598">
        <v>315492</v>
      </c>
      <c r="D1598">
        <v>12500</v>
      </c>
    </row>
    <row r="1599" spans="1:4" x14ac:dyDescent="0.25">
      <c r="A1599" t="str">
        <f>T("900921")</f>
        <v>900921</v>
      </c>
      <c r="B1599" t="str">
        <f>T("Appareils de photocopie à système optique (autres qu'électrostatiques)")</f>
        <v>Appareils de photocopie à système optique (autres qu'électrostatiques)</v>
      </c>
    </row>
    <row r="1600" spans="1:4" x14ac:dyDescent="0.25">
      <c r="A1600" t="str">
        <f>T("   ZZZ_Monde")</f>
        <v xml:space="preserve">   ZZZ_Monde</v>
      </c>
      <c r="B1600" t="str">
        <f>T("   ZZZ_Monde")</f>
        <v xml:space="preserve">   ZZZ_Monde</v>
      </c>
      <c r="C1600">
        <v>2850000</v>
      </c>
      <c r="D1600">
        <v>350</v>
      </c>
    </row>
    <row r="1601" spans="1:4" x14ac:dyDescent="0.25">
      <c r="A1601" t="str">
        <f>T("   NG")</f>
        <v xml:space="preserve">   NG</v>
      </c>
      <c r="B1601" t="str">
        <f>T("   Nigéria")</f>
        <v xml:space="preserve">   Nigéria</v>
      </c>
      <c r="C1601">
        <v>2850000</v>
      </c>
      <c r="D1601">
        <v>350</v>
      </c>
    </row>
    <row r="1602" spans="1:4" x14ac:dyDescent="0.25">
      <c r="A1602" t="str">
        <f>T("901010")</f>
        <v>901010</v>
      </c>
      <c r="B1602"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603" spans="1:4" x14ac:dyDescent="0.25">
      <c r="A1603" t="str">
        <f>T("   ZZZ_Monde")</f>
        <v xml:space="preserve">   ZZZ_Monde</v>
      </c>
      <c r="B1603" t="str">
        <f>T("   ZZZ_Monde")</f>
        <v xml:space="preserve">   ZZZ_Monde</v>
      </c>
      <c r="C1603">
        <v>4000000</v>
      </c>
      <c r="D1603">
        <v>16000</v>
      </c>
    </row>
    <row r="1604" spans="1:4" x14ac:dyDescent="0.25">
      <c r="A1604" t="str">
        <f>T("   CI")</f>
        <v xml:space="preserve">   CI</v>
      </c>
      <c r="B1604" t="str">
        <f>T("   Côte d'Ivoire")</f>
        <v xml:space="preserve">   Côte d'Ivoire</v>
      </c>
      <c r="C1604">
        <v>4000000</v>
      </c>
      <c r="D1604">
        <v>16000</v>
      </c>
    </row>
    <row r="1605" spans="1:4" x14ac:dyDescent="0.25">
      <c r="A1605" t="str">
        <f>T("901380")</f>
        <v>901380</v>
      </c>
      <c r="B1605" t="str">
        <f>T("DISPOSITIFS À CRISTAUX LIQUIDES, N.D.A., ET AUTRES APPAREILS ET INSTRUMENTS D'OPTIQUE, N.D.A. DANS LE PRÉSENT CHAPITRE")</f>
        <v>DISPOSITIFS À CRISTAUX LIQUIDES, N.D.A., ET AUTRES APPAREILS ET INSTRUMENTS D'OPTIQUE, N.D.A. DANS LE PRÉSENT CHAPITRE</v>
      </c>
    </row>
    <row r="1606" spans="1:4" x14ac:dyDescent="0.25">
      <c r="A1606" t="str">
        <f>T("   ZZZ_Monde")</f>
        <v xml:space="preserve">   ZZZ_Monde</v>
      </c>
      <c r="B1606" t="str">
        <f>T("   ZZZ_Monde")</f>
        <v xml:space="preserve">   ZZZ_Monde</v>
      </c>
      <c r="C1606">
        <v>384331</v>
      </c>
      <c r="D1606">
        <v>29</v>
      </c>
    </row>
    <row r="1607" spans="1:4" x14ac:dyDescent="0.25">
      <c r="A1607" t="str">
        <f>T("   CI")</f>
        <v xml:space="preserve">   CI</v>
      </c>
      <c r="B1607" t="str">
        <f>T("   Côte d'Ivoire")</f>
        <v xml:space="preserve">   Côte d'Ivoire</v>
      </c>
      <c r="C1607">
        <v>384331</v>
      </c>
      <c r="D1607">
        <v>29</v>
      </c>
    </row>
    <row r="1608" spans="1:4" x14ac:dyDescent="0.25">
      <c r="A1608" t="str">
        <f>T("901730")</f>
        <v>901730</v>
      </c>
      <c r="B1608" t="str">
        <f>T("Micromètres, pieds à coulisses, calibres et jauges")</f>
        <v>Micromètres, pieds à coulisses, calibres et jauges</v>
      </c>
    </row>
    <row r="1609" spans="1:4" x14ac:dyDescent="0.25">
      <c r="A1609" t="str">
        <f>T("   ZZZ_Monde")</f>
        <v xml:space="preserve">   ZZZ_Monde</v>
      </c>
      <c r="B1609" t="str">
        <f>T("   ZZZ_Monde")</f>
        <v xml:space="preserve">   ZZZ_Monde</v>
      </c>
      <c r="C1609">
        <v>3977741</v>
      </c>
      <c r="D1609">
        <v>303</v>
      </c>
    </row>
    <row r="1610" spans="1:4" x14ac:dyDescent="0.25">
      <c r="A1610" t="str">
        <f>T("   FR")</f>
        <v xml:space="preserve">   FR</v>
      </c>
      <c r="B1610" t="str">
        <f>T("   France")</f>
        <v xml:space="preserve">   France</v>
      </c>
      <c r="C1610">
        <v>3977741</v>
      </c>
      <c r="D1610">
        <v>303</v>
      </c>
    </row>
    <row r="1611" spans="1:4" x14ac:dyDescent="0.25">
      <c r="A1611" t="str">
        <f>T("902300")</f>
        <v>902300</v>
      </c>
      <c r="B1611" t="str">
        <f>T("Instruments, appareils et modèles conçus pour la démonstration, p.ex. dans l'enseignement ou les expositions, non susceptibles d'autres emplois (à l'excl. des appareils au sol d'entraînement au vol du n° 8805, des spécimens pour collections du n° 9705 et")</f>
        <v>Instruments, appareils et modèles conçus pour la démonstration, p.ex. dans l'enseignement ou les expositions, non susceptibles d'autres emplois (à l'excl. des appareils au sol d'entraînement au vol du n° 8805, des spécimens pour collections du n° 9705 et</v>
      </c>
    </row>
    <row r="1612" spans="1:4" x14ac:dyDescent="0.25">
      <c r="A1612" t="str">
        <f>T("   ZZZ_Monde")</f>
        <v xml:space="preserve">   ZZZ_Monde</v>
      </c>
      <c r="B1612" t="str">
        <f>T("   ZZZ_Monde")</f>
        <v xml:space="preserve">   ZZZ_Monde</v>
      </c>
      <c r="C1612">
        <v>2590000</v>
      </c>
      <c r="D1612">
        <v>5000</v>
      </c>
    </row>
    <row r="1613" spans="1:4" x14ac:dyDescent="0.25">
      <c r="A1613" t="str">
        <f>T("   US")</f>
        <v xml:space="preserve">   US</v>
      </c>
      <c r="B1613" t="str">
        <f>T("   Etats-Unis")</f>
        <v xml:space="preserve">   Etats-Unis</v>
      </c>
      <c r="C1613">
        <v>2590000</v>
      </c>
      <c r="D1613">
        <v>5000</v>
      </c>
    </row>
    <row r="1614" spans="1:4" x14ac:dyDescent="0.25">
      <c r="A1614" t="str">
        <f>T("902580")</f>
        <v>902580</v>
      </c>
      <c r="B1614" t="str">
        <f>T("DENSIMÈTRES, ARÉOMÈTRES, PÈSE-LIQUIDES ET INSTRUMENTS FLOTTANTS SIMIL., BAROMÈTRES, HYGROMÈTRES ET PSYCHROMÈTRES, MÊME COMBINÉS ENTRE EUX OU COMBINÉS À DES THERMOMÈTRES [01/01/1988-31/12/1991: DENSIMÈTRES, ARÉOMÈTRES, PESE-LIQUIDES ET SIMILAIRES, PYROMETR")</f>
        <v>DENSIMÈTRES, ARÉOMÈTRES, PÈSE-LIQUIDES ET INSTRUMENTS FLOTTANTS SIMIL., BAROMÈTRES, HYGROMÈTRES ET PSYCHROMÈTRES, MÊME COMBINÉS ENTRE EUX OU COMBINÉS À DES THERMOMÈTRES [01/01/1988-31/12/1991: DENSIMÈTRES, ARÉOMÈTRES, PESE-LIQUIDES ET SIMILAIRES, PYROMETR</v>
      </c>
    </row>
    <row r="1615" spans="1:4" x14ac:dyDescent="0.25">
      <c r="A1615" t="str">
        <f>T("   ZZZ_Monde")</f>
        <v xml:space="preserve">   ZZZ_Monde</v>
      </c>
      <c r="B1615" t="str">
        <f>T("   ZZZ_Monde")</f>
        <v xml:space="preserve">   ZZZ_Monde</v>
      </c>
      <c r="C1615">
        <v>18399594</v>
      </c>
      <c r="D1615">
        <v>439</v>
      </c>
    </row>
    <row r="1616" spans="1:4" x14ac:dyDescent="0.25">
      <c r="A1616" t="str">
        <f>T("   FR")</f>
        <v xml:space="preserve">   FR</v>
      </c>
      <c r="B1616" t="str">
        <f>T("   France")</f>
        <v xml:space="preserve">   France</v>
      </c>
      <c r="C1616">
        <v>18399594</v>
      </c>
      <c r="D1616">
        <v>439</v>
      </c>
    </row>
    <row r="1617" spans="1:4" x14ac:dyDescent="0.25">
      <c r="A1617" t="str">
        <f>T("902610")</f>
        <v>902610</v>
      </c>
      <c r="B1617"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618" spans="1:4" x14ac:dyDescent="0.25">
      <c r="A1618" t="str">
        <f>T("   ZZZ_Monde")</f>
        <v xml:space="preserve">   ZZZ_Monde</v>
      </c>
      <c r="B1618" t="str">
        <f>T("   ZZZ_Monde")</f>
        <v xml:space="preserve">   ZZZ_Monde</v>
      </c>
      <c r="C1618">
        <v>3935760</v>
      </c>
      <c r="D1618">
        <v>70</v>
      </c>
    </row>
    <row r="1619" spans="1:4" x14ac:dyDescent="0.25">
      <c r="A1619" t="str">
        <f>T("   FR")</f>
        <v xml:space="preserve">   FR</v>
      </c>
      <c r="B1619" t="str">
        <f>T("   France")</f>
        <v xml:space="preserve">   France</v>
      </c>
      <c r="C1619">
        <v>3935760</v>
      </c>
      <c r="D1619">
        <v>70</v>
      </c>
    </row>
    <row r="1620" spans="1:4" x14ac:dyDescent="0.25">
      <c r="A1620" t="str">
        <f>T("902790")</f>
        <v>902790</v>
      </c>
      <c r="B1620" t="str">
        <f>T("Microtomes; parties et accessoires des instruments et appareils pour analyses physiques ou chimiques, p.ex. polarimètres, réfractomètres, spectromètres, des instruments et appareils pour essais de viscosité, de porosité, de dilatation, de tension superfic")</f>
        <v>Microtomes; parties et accessoires des instruments et appareils pour analyses physiques ou chimiques, p.ex. polarimètres, réfractomètres, spectromètres, des instruments et appareils pour essais de viscosité, de porosité, de dilatation, de tension superfic</v>
      </c>
    </row>
    <row r="1621" spans="1:4" x14ac:dyDescent="0.25">
      <c r="A1621" t="str">
        <f>T("   ZZZ_Monde")</f>
        <v xml:space="preserve">   ZZZ_Monde</v>
      </c>
      <c r="B1621" t="str">
        <f>T("   ZZZ_Monde")</f>
        <v xml:space="preserve">   ZZZ_Monde</v>
      </c>
      <c r="C1621">
        <v>19174000</v>
      </c>
      <c r="D1621">
        <v>1216</v>
      </c>
    </row>
    <row r="1622" spans="1:4" x14ac:dyDescent="0.25">
      <c r="A1622" t="str">
        <f>T("   FR")</f>
        <v xml:space="preserve">   FR</v>
      </c>
      <c r="B1622" t="str">
        <f>T("   France")</f>
        <v xml:space="preserve">   France</v>
      </c>
      <c r="C1622">
        <v>19174000</v>
      </c>
      <c r="D1622">
        <v>1216</v>
      </c>
    </row>
    <row r="1623" spans="1:4" x14ac:dyDescent="0.25">
      <c r="A1623" t="str">
        <f>T("940161")</f>
        <v>940161</v>
      </c>
      <c r="B1623" t="str">
        <f>T("Sièges, avec bâti en bois, rembourrés (non transformables en lits)")</f>
        <v>Sièges, avec bâti en bois, rembourrés (non transformables en lits)</v>
      </c>
    </row>
    <row r="1624" spans="1:4" x14ac:dyDescent="0.25">
      <c r="A1624" t="str">
        <f>T("   ZZZ_Monde")</f>
        <v xml:space="preserve">   ZZZ_Monde</v>
      </c>
      <c r="B1624" t="str">
        <f>T("   ZZZ_Monde")</f>
        <v xml:space="preserve">   ZZZ_Monde</v>
      </c>
      <c r="C1624">
        <v>810000</v>
      </c>
      <c r="D1624">
        <v>15</v>
      </c>
    </row>
    <row r="1625" spans="1:4" x14ac:dyDescent="0.25">
      <c r="A1625" t="str">
        <f>T("   GQ")</f>
        <v xml:space="preserve">   GQ</v>
      </c>
      <c r="B1625" t="str">
        <f>T("   Guinée Equatoriale")</f>
        <v xml:space="preserve">   Guinée Equatoriale</v>
      </c>
      <c r="C1625">
        <v>810000</v>
      </c>
      <c r="D1625">
        <v>15</v>
      </c>
    </row>
    <row r="1626" spans="1:4" x14ac:dyDescent="0.25">
      <c r="A1626" t="str">
        <f>T("940180")</f>
        <v>940180</v>
      </c>
      <c r="B1626" t="str">
        <f>T("Sièges, n.d.a.")</f>
        <v>Sièges, n.d.a.</v>
      </c>
    </row>
    <row r="1627" spans="1:4" x14ac:dyDescent="0.25">
      <c r="A1627" t="str">
        <f>T("   ZZZ_Monde")</f>
        <v xml:space="preserve">   ZZZ_Monde</v>
      </c>
      <c r="B1627" t="str">
        <f>T("   ZZZ_Monde")</f>
        <v xml:space="preserve">   ZZZ_Monde</v>
      </c>
      <c r="C1627">
        <v>3238300</v>
      </c>
      <c r="D1627">
        <v>4200</v>
      </c>
    </row>
    <row r="1628" spans="1:4" x14ac:dyDescent="0.25">
      <c r="A1628" t="str">
        <f>T("   TG")</f>
        <v xml:space="preserve">   TG</v>
      </c>
      <c r="B1628" t="str">
        <f>T("   Togo")</f>
        <v xml:space="preserve">   Togo</v>
      </c>
      <c r="C1628">
        <v>3238300</v>
      </c>
      <c r="D1628">
        <v>4200</v>
      </c>
    </row>
    <row r="1629" spans="1:4" x14ac:dyDescent="0.25">
      <c r="A1629" t="str">
        <f>T("940210")</f>
        <v>940210</v>
      </c>
      <c r="B1629" t="str">
        <f>T("Fauteuils de dentistes, fauteuils pour salons de coiffure et fauteuils simil., avec dispositif à la fois d'orientation et d'élévation, et leurs parties, n.d.a.")</f>
        <v>Fauteuils de dentistes, fauteuils pour salons de coiffure et fauteuils simil., avec dispositif à la fois d'orientation et d'élévation, et leurs parties, n.d.a.</v>
      </c>
    </row>
    <row r="1630" spans="1:4" x14ac:dyDescent="0.25">
      <c r="A1630" t="str">
        <f>T("   ZZZ_Monde")</f>
        <v xml:space="preserve">   ZZZ_Monde</v>
      </c>
      <c r="B1630" t="str">
        <f>T("   ZZZ_Monde")</f>
        <v xml:space="preserve">   ZZZ_Monde</v>
      </c>
      <c r="C1630">
        <v>4422788</v>
      </c>
      <c r="D1630">
        <v>6150</v>
      </c>
    </row>
    <row r="1631" spans="1:4" x14ac:dyDescent="0.25">
      <c r="A1631" t="str">
        <f>T("   CD")</f>
        <v xml:space="preserve">   CD</v>
      </c>
      <c r="B1631" t="str">
        <f>T("   Congo, République Démocratique")</f>
        <v xml:space="preserve">   Congo, République Démocratique</v>
      </c>
      <c r="C1631">
        <v>550000</v>
      </c>
      <c r="D1631">
        <v>150</v>
      </c>
    </row>
    <row r="1632" spans="1:4" x14ac:dyDescent="0.25">
      <c r="A1632" t="str">
        <f>T("   FR")</f>
        <v xml:space="preserve">   FR</v>
      </c>
      <c r="B1632" t="str">
        <f>T("   France")</f>
        <v xml:space="preserve">   France</v>
      </c>
      <c r="C1632">
        <v>3872788</v>
      </c>
      <c r="D1632">
        <v>6000</v>
      </c>
    </row>
    <row r="1633" spans="1:4" x14ac:dyDescent="0.25">
      <c r="A1633" t="str">
        <f>T("940330")</f>
        <v>940330</v>
      </c>
      <c r="B1633" t="str">
        <f>T("Meubles de bureau en bois (sauf sièges)")</f>
        <v>Meubles de bureau en bois (sauf sièges)</v>
      </c>
    </row>
    <row r="1634" spans="1:4" x14ac:dyDescent="0.25">
      <c r="A1634" t="str">
        <f>T("   ZZZ_Monde")</f>
        <v xml:space="preserve">   ZZZ_Monde</v>
      </c>
      <c r="B1634" t="str">
        <f>T("   ZZZ_Monde")</f>
        <v xml:space="preserve">   ZZZ_Monde</v>
      </c>
      <c r="C1634">
        <v>1519384</v>
      </c>
      <c r="D1634">
        <v>2173</v>
      </c>
    </row>
    <row r="1635" spans="1:4" x14ac:dyDescent="0.25">
      <c r="A1635" t="str">
        <f>T("   GA")</f>
        <v xml:space="preserve">   GA</v>
      </c>
      <c r="B1635" t="str">
        <f>T("   Gabon")</f>
        <v xml:space="preserve">   Gabon</v>
      </c>
      <c r="C1635">
        <v>310000</v>
      </c>
      <c r="D1635">
        <v>1000</v>
      </c>
    </row>
    <row r="1636" spans="1:4" x14ac:dyDescent="0.25">
      <c r="A1636" t="str">
        <f>T("   US")</f>
        <v xml:space="preserve">   US</v>
      </c>
      <c r="B1636" t="str">
        <f>T("   Etats-Unis")</f>
        <v xml:space="preserve">   Etats-Unis</v>
      </c>
      <c r="C1636">
        <v>1209384</v>
      </c>
      <c r="D1636">
        <v>1173</v>
      </c>
    </row>
    <row r="1637" spans="1:4" x14ac:dyDescent="0.25">
      <c r="A1637" t="str">
        <f>T("940350")</f>
        <v>940350</v>
      </c>
      <c r="B1637" t="str">
        <f>T("Meubles pour chambres à coucher, en bois (sauf sièges)")</f>
        <v>Meubles pour chambres à coucher, en bois (sauf sièges)</v>
      </c>
    </row>
    <row r="1638" spans="1:4" x14ac:dyDescent="0.25">
      <c r="A1638" t="str">
        <f>T("   ZZZ_Monde")</f>
        <v xml:space="preserve">   ZZZ_Monde</v>
      </c>
      <c r="B1638" t="str">
        <f>T("   ZZZ_Monde")</f>
        <v xml:space="preserve">   ZZZ_Monde</v>
      </c>
      <c r="C1638">
        <v>57129256</v>
      </c>
      <c r="D1638">
        <v>87417</v>
      </c>
    </row>
    <row r="1639" spans="1:4" x14ac:dyDescent="0.25">
      <c r="A1639" t="str">
        <f>T("   BE")</f>
        <v xml:space="preserve">   BE</v>
      </c>
      <c r="B1639" t="str">
        <f>T("   Belgique")</f>
        <v xml:space="preserve">   Belgique</v>
      </c>
      <c r="C1639">
        <v>11329256</v>
      </c>
      <c r="D1639">
        <v>11757</v>
      </c>
    </row>
    <row r="1640" spans="1:4" x14ac:dyDescent="0.25">
      <c r="A1640" t="str">
        <f>T("   BF")</f>
        <v xml:space="preserve">   BF</v>
      </c>
      <c r="B1640" t="str">
        <f>T("   Burkina Faso")</f>
        <v xml:space="preserve">   Burkina Faso</v>
      </c>
      <c r="C1640">
        <v>3900000</v>
      </c>
      <c r="D1640">
        <v>4750</v>
      </c>
    </row>
    <row r="1641" spans="1:4" x14ac:dyDescent="0.25">
      <c r="A1641" t="str">
        <f>T("   BR")</f>
        <v xml:space="preserve">   BR</v>
      </c>
      <c r="B1641" t="str">
        <f>T("   Brésil")</f>
        <v xml:space="preserve">   Brésil</v>
      </c>
      <c r="C1641">
        <v>2300000</v>
      </c>
      <c r="D1641">
        <v>3000</v>
      </c>
    </row>
    <row r="1642" spans="1:4" x14ac:dyDescent="0.25">
      <c r="A1642" t="str">
        <f>T("   CD")</f>
        <v xml:space="preserve">   CD</v>
      </c>
      <c r="B1642" t="str">
        <f>T("   Congo, République Démocratique")</f>
        <v xml:space="preserve">   Congo, République Démocratique</v>
      </c>
      <c r="C1642">
        <v>1750000</v>
      </c>
      <c r="D1642">
        <v>2200</v>
      </c>
    </row>
    <row r="1643" spans="1:4" x14ac:dyDescent="0.25">
      <c r="A1643" t="str">
        <f>T("   CG")</f>
        <v xml:space="preserve">   CG</v>
      </c>
      <c r="B1643" t="str">
        <f>T("   Congo (Brazzaville)")</f>
        <v xml:space="preserve">   Congo (Brazzaville)</v>
      </c>
      <c r="C1643">
        <v>500000</v>
      </c>
      <c r="D1643">
        <v>200</v>
      </c>
    </row>
    <row r="1644" spans="1:4" x14ac:dyDescent="0.25">
      <c r="A1644" t="str">
        <f>T("   CH")</f>
        <v xml:space="preserve">   CH</v>
      </c>
      <c r="B1644" t="str">
        <f>T("   Suisse")</f>
        <v xml:space="preserve">   Suisse</v>
      </c>
      <c r="C1644">
        <v>1050000</v>
      </c>
      <c r="D1644">
        <v>2500</v>
      </c>
    </row>
    <row r="1645" spans="1:4" x14ac:dyDescent="0.25">
      <c r="A1645" t="str">
        <f>T("   CI")</f>
        <v xml:space="preserve">   CI</v>
      </c>
      <c r="B1645" t="str">
        <f>T("   Côte d'Ivoire")</f>
        <v xml:space="preserve">   Côte d'Ivoire</v>
      </c>
      <c r="C1645">
        <v>3000000</v>
      </c>
      <c r="D1645">
        <v>3650</v>
      </c>
    </row>
    <row r="1646" spans="1:4" x14ac:dyDescent="0.25">
      <c r="A1646" t="str">
        <f>T("   CM")</f>
        <v xml:space="preserve">   CM</v>
      </c>
      <c r="B1646" t="str">
        <f>T("   Cameroun")</f>
        <v xml:space="preserve">   Cameroun</v>
      </c>
      <c r="C1646">
        <v>2100000</v>
      </c>
      <c r="D1646">
        <v>3900</v>
      </c>
    </row>
    <row r="1647" spans="1:4" x14ac:dyDescent="0.25">
      <c r="A1647" t="str">
        <f>T("   DE")</f>
        <v xml:space="preserve">   DE</v>
      </c>
      <c r="B1647" t="str">
        <f>T("   Allemagne")</f>
        <v xml:space="preserve">   Allemagne</v>
      </c>
      <c r="C1647">
        <v>5600000</v>
      </c>
      <c r="D1647">
        <v>10000</v>
      </c>
    </row>
    <row r="1648" spans="1:4" x14ac:dyDescent="0.25">
      <c r="A1648" t="str">
        <f>T("   DK")</f>
        <v xml:space="preserve">   DK</v>
      </c>
      <c r="B1648" t="str">
        <f>T("   Danemark")</f>
        <v xml:space="preserve">   Danemark</v>
      </c>
      <c r="C1648">
        <v>800000</v>
      </c>
      <c r="D1648">
        <v>900</v>
      </c>
    </row>
    <row r="1649" spans="1:4" x14ac:dyDescent="0.25">
      <c r="A1649" t="str">
        <f>T("   ET")</f>
        <v xml:space="preserve">   ET</v>
      </c>
      <c r="B1649" t="str">
        <f>T("   Ethiopie")</f>
        <v xml:space="preserve">   Ethiopie</v>
      </c>
      <c r="C1649">
        <v>800000</v>
      </c>
      <c r="D1649">
        <v>1200</v>
      </c>
    </row>
    <row r="1650" spans="1:4" x14ac:dyDescent="0.25">
      <c r="A1650" t="str">
        <f>T("   FR")</f>
        <v xml:space="preserve">   FR</v>
      </c>
      <c r="B1650" t="str">
        <f>T("   France")</f>
        <v xml:space="preserve">   France</v>
      </c>
      <c r="C1650">
        <v>5900000</v>
      </c>
      <c r="D1650">
        <v>7200</v>
      </c>
    </row>
    <row r="1651" spans="1:4" x14ac:dyDescent="0.25">
      <c r="A1651" t="str">
        <f>T("   GA")</f>
        <v xml:space="preserve">   GA</v>
      </c>
      <c r="B1651" t="str">
        <f>T("   Gabon")</f>
        <v xml:space="preserve">   Gabon</v>
      </c>
      <c r="C1651">
        <v>2750000</v>
      </c>
      <c r="D1651">
        <v>3500</v>
      </c>
    </row>
    <row r="1652" spans="1:4" x14ac:dyDescent="0.25">
      <c r="A1652" t="str">
        <f>T("   GN")</f>
        <v xml:space="preserve">   GN</v>
      </c>
      <c r="B1652" t="str">
        <f>T("   Guinée")</f>
        <v xml:space="preserve">   Guinée</v>
      </c>
      <c r="C1652">
        <v>2400000</v>
      </c>
      <c r="D1652">
        <v>15400</v>
      </c>
    </row>
    <row r="1653" spans="1:4" x14ac:dyDescent="0.25">
      <c r="A1653" t="str">
        <f>T("   GP")</f>
        <v xml:space="preserve">   GP</v>
      </c>
      <c r="B1653" t="str">
        <f>T("   Guadeloupe")</f>
        <v xml:space="preserve">   Guadeloupe</v>
      </c>
      <c r="C1653">
        <v>800000</v>
      </c>
      <c r="D1653">
        <v>1200</v>
      </c>
    </row>
    <row r="1654" spans="1:4" x14ac:dyDescent="0.25">
      <c r="A1654" t="str">
        <f>T("   GQ")</f>
        <v xml:space="preserve">   GQ</v>
      </c>
      <c r="B1654" t="str">
        <f>T("   Guinée Equatoriale")</f>
        <v xml:space="preserve">   Guinée Equatoriale</v>
      </c>
      <c r="C1654">
        <v>200000</v>
      </c>
      <c r="D1654">
        <v>10</v>
      </c>
    </row>
    <row r="1655" spans="1:4" x14ac:dyDescent="0.25">
      <c r="A1655" t="str">
        <f>T("   GY")</f>
        <v xml:space="preserve">   GY</v>
      </c>
      <c r="B1655" t="str">
        <f>T("   Guyane")</f>
        <v xml:space="preserve">   Guyane</v>
      </c>
      <c r="C1655">
        <v>400000</v>
      </c>
      <c r="D1655">
        <v>300</v>
      </c>
    </row>
    <row r="1656" spans="1:4" x14ac:dyDescent="0.25">
      <c r="A1656" t="str">
        <f>T("   ID")</f>
        <v xml:space="preserve">   ID</v>
      </c>
      <c r="B1656" t="str">
        <f>T("   Indonésie")</f>
        <v xml:space="preserve">   Indonésie</v>
      </c>
      <c r="C1656">
        <v>1200000</v>
      </c>
      <c r="D1656">
        <v>1200</v>
      </c>
    </row>
    <row r="1657" spans="1:4" x14ac:dyDescent="0.25">
      <c r="A1657" t="str">
        <f>T("   KE")</f>
        <v xml:space="preserve">   KE</v>
      </c>
      <c r="B1657" t="str">
        <f>T("   Kenya")</f>
        <v xml:space="preserve">   Kenya</v>
      </c>
      <c r="C1657">
        <v>1000000</v>
      </c>
      <c r="D1657">
        <v>1300</v>
      </c>
    </row>
    <row r="1658" spans="1:4" x14ac:dyDescent="0.25">
      <c r="A1658" t="str">
        <f>T("   MG")</f>
        <v xml:space="preserve">   MG</v>
      </c>
      <c r="B1658" t="str">
        <f>T("   Madagascar")</f>
        <v xml:space="preserve">   Madagascar</v>
      </c>
      <c r="C1658">
        <v>1000000</v>
      </c>
      <c r="D1658">
        <v>1500</v>
      </c>
    </row>
    <row r="1659" spans="1:4" x14ac:dyDescent="0.25">
      <c r="A1659" t="str">
        <f>T("   MZ")</f>
        <v xml:space="preserve">   MZ</v>
      </c>
      <c r="B1659" t="str">
        <f>T("   Mozambique")</f>
        <v xml:space="preserve">   Mozambique</v>
      </c>
      <c r="C1659">
        <v>850000</v>
      </c>
      <c r="D1659">
        <v>1800</v>
      </c>
    </row>
    <row r="1660" spans="1:4" x14ac:dyDescent="0.25">
      <c r="A1660" t="str">
        <f>T("   NE")</f>
        <v xml:space="preserve">   NE</v>
      </c>
      <c r="B1660" t="str">
        <f>T("   Niger")</f>
        <v xml:space="preserve">   Niger</v>
      </c>
      <c r="C1660">
        <v>700000</v>
      </c>
      <c r="D1660">
        <v>400</v>
      </c>
    </row>
    <row r="1661" spans="1:4" x14ac:dyDescent="0.25">
      <c r="A1661" t="str">
        <f>T("   NL")</f>
        <v xml:space="preserve">   NL</v>
      </c>
      <c r="B1661" t="str">
        <f>T("   Pays-bas")</f>
        <v xml:space="preserve">   Pays-bas</v>
      </c>
      <c r="C1661">
        <v>950000</v>
      </c>
      <c r="D1661">
        <v>2200</v>
      </c>
    </row>
    <row r="1662" spans="1:4" x14ac:dyDescent="0.25">
      <c r="A1662" t="str">
        <f>T("   SN")</f>
        <v xml:space="preserve">   SN</v>
      </c>
      <c r="B1662" t="str">
        <f>T("   Sénégal")</f>
        <v xml:space="preserve">   Sénégal</v>
      </c>
      <c r="C1662">
        <v>5150000</v>
      </c>
      <c r="D1662">
        <v>6800</v>
      </c>
    </row>
    <row r="1663" spans="1:4" x14ac:dyDescent="0.25">
      <c r="A1663" t="str">
        <f>T("   US")</f>
        <v xml:space="preserve">   US</v>
      </c>
      <c r="B1663" t="str">
        <f>T("   Etats-Unis")</f>
        <v xml:space="preserve">   Etats-Unis</v>
      </c>
      <c r="C1663">
        <v>700000</v>
      </c>
      <c r="D1663">
        <v>550</v>
      </c>
    </row>
    <row r="1664" spans="1:4" x14ac:dyDescent="0.25">
      <c r="A1664" t="str">
        <f>T("940360")</f>
        <v>940360</v>
      </c>
      <c r="B1664" t="str">
        <f>T("Meubles en bois (autres que pour bureaux, cuisines ou chambres à coucher et autres que sièges)")</f>
        <v>Meubles en bois (autres que pour bureaux, cuisines ou chambres à coucher et autres que sièges)</v>
      </c>
    </row>
    <row r="1665" spans="1:4" x14ac:dyDescent="0.25">
      <c r="A1665" t="str">
        <f>T("   ZZZ_Monde")</f>
        <v xml:space="preserve">   ZZZ_Monde</v>
      </c>
      <c r="B1665" t="str">
        <f>T("   ZZZ_Monde")</f>
        <v xml:space="preserve">   ZZZ_Monde</v>
      </c>
      <c r="C1665">
        <v>178555912</v>
      </c>
      <c r="D1665">
        <v>45680</v>
      </c>
    </row>
    <row r="1666" spans="1:4" x14ac:dyDescent="0.25">
      <c r="A1666" t="str">
        <f>T("   BF")</f>
        <v xml:space="preserve">   BF</v>
      </c>
      <c r="B1666" t="str">
        <f>T("   Burkina Faso")</f>
        <v xml:space="preserve">   Burkina Faso</v>
      </c>
      <c r="C1666">
        <v>6500000</v>
      </c>
      <c r="D1666">
        <v>2000</v>
      </c>
    </row>
    <row r="1667" spans="1:4" x14ac:dyDescent="0.25">
      <c r="A1667" t="str">
        <f>T("   DE")</f>
        <v xml:space="preserve">   DE</v>
      </c>
      <c r="B1667" t="str">
        <f>T("   Allemagne")</f>
        <v xml:space="preserve">   Allemagne</v>
      </c>
      <c r="C1667">
        <v>4750000</v>
      </c>
      <c r="D1667">
        <v>5500</v>
      </c>
    </row>
    <row r="1668" spans="1:4" x14ac:dyDescent="0.25">
      <c r="A1668" t="str">
        <f>T("   DK")</f>
        <v xml:space="preserve">   DK</v>
      </c>
      <c r="B1668" t="str">
        <f>T("   Danemark")</f>
        <v xml:space="preserve">   Danemark</v>
      </c>
      <c r="C1668">
        <v>1470000</v>
      </c>
      <c r="D1668">
        <v>3800</v>
      </c>
    </row>
    <row r="1669" spans="1:4" x14ac:dyDescent="0.25">
      <c r="A1669" t="str">
        <f>T("   SN")</f>
        <v xml:space="preserve">   SN</v>
      </c>
      <c r="B1669" t="str">
        <f>T("   Sénégal")</f>
        <v xml:space="preserve">   Sénégal</v>
      </c>
      <c r="C1669">
        <v>3387000</v>
      </c>
      <c r="D1669">
        <v>5230</v>
      </c>
    </row>
    <row r="1670" spans="1:4" x14ac:dyDescent="0.25">
      <c r="A1670" t="str">
        <f>T("   TG")</f>
        <v xml:space="preserve">   TG</v>
      </c>
      <c r="B1670" t="str">
        <f>T("   Togo")</f>
        <v xml:space="preserve">   Togo</v>
      </c>
      <c r="C1670">
        <v>1500000</v>
      </c>
      <c r="D1670">
        <v>1000</v>
      </c>
    </row>
    <row r="1671" spans="1:4" x14ac:dyDescent="0.25">
      <c r="A1671" t="str">
        <f>T("   US")</f>
        <v xml:space="preserve">   US</v>
      </c>
      <c r="B1671" t="str">
        <f>T("   Etats-Unis")</f>
        <v xml:space="preserve">   Etats-Unis</v>
      </c>
      <c r="C1671">
        <v>159473912</v>
      </c>
      <c r="D1671">
        <v>24500</v>
      </c>
    </row>
    <row r="1672" spans="1:4" x14ac:dyDescent="0.25">
      <c r="A1672" t="str">
        <f>T("   ZA")</f>
        <v xml:space="preserve">   ZA</v>
      </c>
      <c r="B1672" t="str">
        <f>T("   Afrique du Sud")</f>
        <v xml:space="preserve">   Afrique du Sud</v>
      </c>
      <c r="C1672">
        <v>1475000</v>
      </c>
      <c r="D1672">
        <v>3650</v>
      </c>
    </row>
    <row r="1673" spans="1:4" x14ac:dyDescent="0.25">
      <c r="A1673" t="str">
        <f>T("940370")</f>
        <v>940370</v>
      </c>
      <c r="B1673" t="str">
        <f>T("Meubles en matières plastiques (autres que pour la médecine, l'art dentaire et vétérinaire, la chirurgie et autres que sièges)")</f>
        <v>Meubles en matières plastiques (autres que pour la médecine, l'art dentaire et vétérinaire, la chirurgie et autres que sièges)</v>
      </c>
    </row>
    <row r="1674" spans="1:4" x14ac:dyDescent="0.25">
      <c r="A1674" t="str">
        <f>T("   ZZZ_Monde")</f>
        <v xml:space="preserve">   ZZZ_Monde</v>
      </c>
      <c r="B1674" t="str">
        <f>T("   ZZZ_Monde")</f>
        <v xml:space="preserve">   ZZZ_Monde</v>
      </c>
      <c r="C1674">
        <v>11862000</v>
      </c>
      <c r="D1674">
        <v>8750</v>
      </c>
    </row>
    <row r="1675" spans="1:4" x14ac:dyDescent="0.25">
      <c r="A1675" t="str">
        <f>T("   GH")</f>
        <v xml:space="preserve">   GH</v>
      </c>
      <c r="B1675" t="str">
        <f>T("   Ghana")</f>
        <v xml:space="preserve">   Ghana</v>
      </c>
      <c r="C1675">
        <v>11862000</v>
      </c>
      <c r="D1675">
        <v>8750</v>
      </c>
    </row>
    <row r="1676" spans="1:4" x14ac:dyDescent="0.25">
      <c r="A1676" t="str">
        <f>T("940380")</f>
        <v>940380</v>
      </c>
      <c r="B1676" t="str">
        <f>T("Meubles en rotin, osier, bambou ou autres matières (sauf métal, bois et matières plastiques)")</f>
        <v>Meubles en rotin, osier, bambou ou autres matières (sauf métal, bois et matières plastiques)</v>
      </c>
    </row>
    <row r="1677" spans="1:4" x14ac:dyDescent="0.25">
      <c r="A1677" t="str">
        <f>T("   ZZZ_Monde")</f>
        <v xml:space="preserve">   ZZZ_Monde</v>
      </c>
      <c r="B1677" t="str">
        <f>T("   ZZZ_Monde")</f>
        <v xml:space="preserve">   ZZZ_Monde</v>
      </c>
      <c r="C1677">
        <v>74415451</v>
      </c>
      <c r="D1677">
        <v>221140</v>
      </c>
    </row>
    <row r="1678" spans="1:4" x14ac:dyDescent="0.25">
      <c r="A1678" t="str">
        <f>T("   AO")</f>
        <v xml:space="preserve">   AO</v>
      </c>
      <c r="B1678" t="str">
        <f>T("   Angola")</f>
        <v xml:space="preserve">   Angola</v>
      </c>
      <c r="C1678">
        <v>13119200</v>
      </c>
      <c r="D1678">
        <v>15000</v>
      </c>
    </row>
    <row r="1679" spans="1:4" x14ac:dyDescent="0.25">
      <c r="A1679" t="str">
        <f>T("   BD")</f>
        <v xml:space="preserve">   BD</v>
      </c>
      <c r="B1679" t="str">
        <f>T("   Bangladesh")</f>
        <v xml:space="preserve">   Bangladesh</v>
      </c>
      <c r="C1679">
        <v>2500000</v>
      </c>
      <c r="D1679">
        <v>4000</v>
      </c>
    </row>
    <row r="1680" spans="1:4" x14ac:dyDescent="0.25">
      <c r="A1680" t="str">
        <f>T("   BE")</f>
        <v xml:space="preserve">   BE</v>
      </c>
      <c r="B1680" t="str">
        <f>T("   Belgique")</f>
        <v xml:space="preserve">   Belgique</v>
      </c>
      <c r="C1680">
        <v>5200000</v>
      </c>
      <c r="D1680">
        <v>14600</v>
      </c>
    </row>
    <row r="1681" spans="1:4" x14ac:dyDescent="0.25">
      <c r="A1681" t="str">
        <f>T("   BF")</f>
        <v xml:space="preserve">   BF</v>
      </c>
      <c r="B1681" t="str">
        <f>T("   Burkina Faso")</f>
        <v xml:space="preserve">   Burkina Faso</v>
      </c>
      <c r="C1681">
        <v>2000000</v>
      </c>
      <c r="D1681">
        <v>13700</v>
      </c>
    </row>
    <row r="1682" spans="1:4" x14ac:dyDescent="0.25">
      <c r="A1682" t="str">
        <f>T("   CD")</f>
        <v xml:space="preserve">   CD</v>
      </c>
      <c r="B1682" t="str">
        <f>T("   Congo, République Démocratique")</f>
        <v xml:space="preserve">   Congo, République Démocratique</v>
      </c>
      <c r="C1682">
        <v>5000000</v>
      </c>
      <c r="D1682">
        <v>12000</v>
      </c>
    </row>
    <row r="1683" spans="1:4" x14ac:dyDescent="0.25">
      <c r="A1683" t="str">
        <f>T("   CM")</f>
        <v xml:space="preserve">   CM</v>
      </c>
      <c r="B1683" t="str">
        <f>T("   Cameroun")</f>
        <v xml:space="preserve">   Cameroun</v>
      </c>
      <c r="C1683">
        <v>6000000</v>
      </c>
      <c r="D1683">
        <v>8000</v>
      </c>
    </row>
    <row r="1684" spans="1:4" x14ac:dyDescent="0.25">
      <c r="A1684" t="str">
        <f>T("   DK")</f>
        <v xml:space="preserve">   DK</v>
      </c>
      <c r="B1684" t="str">
        <f>T("   Danemark")</f>
        <v xml:space="preserve">   Danemark</v>
      </c>
      <c r="C1684">
        <v>3000000</v>
      </c>
      <c r="D1684">
        <v>3500</v>
      </c>
    </row>
    <row r="1685" spans="1:4" x14ac:dyDescent="0.25">
      <c r="A1685" t="str">
        <f>T("   ET")</f>
        <v xml:space="preserve">   ET</v>
      </c>
      <c r="B1685" t="str">
        <f>T("   Ethiopie")</f>
        <v xml:space="preserve">   Ethiopie</v>
      </c>
      <c r="C1685">
        <v>500000</v>
      </c>
      <c r="D1685">
        <v>5000</v>
      </c>
    </row>
    <row r="1686" spans="1:4" x14ac:dyDescent="0.25">
      <c r="A1686" t="str">
        <f>T("   FR")</f>
        <v xml:space="preserve">   FR</v>
      </c>
      <c r="B1686" t="str">
        <f>T("   France")</f>
        <v xml:space="preserve">   France</v>
      </c>
      <c r="C1686">
        <v>20940192</v>
      </c>
      <c r="D1686">
        <v>64560</v>
      </c>
    </row>
    <row r="1687" spans="1:4" x14ac:dyDescent="0.25">
      <c r="A1687" t="str">
        <f>T("   GA")</f>
        <v xml:space="preserve">   GA</v>
      </c>
      <c r="B1687" t="str">
        <f>T("   Gabon")</f>
        <v xml:space="preserve">   Gabon</v>
      </c>
      <c r="C1687">
        <v>500000</v>
      </c>
      <c r="D1687">
        <v>10000</v>
      </c>
    </row>
    <row r="1688" spans="1:4" x14ac:dyDescent="0.25">
      <c r="A1688" t="str">
        <f>T("   GH")</f>
        <v xml:space="preserve">   GH</v>
      </c>
      <c r="B1688" t="str">
        <f>T("   Ghana")</f>
        <v xml:space="preserve">   Ghana</v>
      </c>
      <c r="C1688">
        <v>1500000</v>
      </c>
      <c r="D1688">
        <v>1200</v>
      </c>
    </row>
    <row r="1689" spans="1:4" x14ac:dyDescent="0.25">
      <c r="A1689" t="str">
        <f>T("   GN")</f>
        <v xml:space="preserve">   GN</v>
      </c>
      <c r="B1689" t="str">
        <f>T("   Guinée")</f>
        <v xml:space="preserve">   Guinée</v>
      </c>
      <c r="C1689">
        <v>4420000</v>
      </c>
      <c r="D1689">
        <v>13780</v>
      </c>
    </row>
    <row r="1690" spans="1:4" x14ac:dyDescent="0.25">
      <c r="A1690" t="str">
        <f>T("   GQ")</f>
        <v xml:space="preserve">   GQ</v>
      </c>
      <c r="B1690" t="str">
        <f>T("   Guinée Equatoriale")</f>
        <v xml:space="preserve">   Guinée Equatoriale</v>
      </c>
      <c r="C1690">
        <v>3236059</v>
      </c>
      <c r="D1690">
        <v>10800</v>
      </c>
    </row>
    <row r="1691" spans="1:4" x14ac:dyDescent="0.25">
      <c r="A1691" t="str">
        <f>T("   ML")</f>
        <v xml:space="preserve">   ML</v>
      </c>
      <c r="B1691" t="str">
        <f>T("   Mali")</f>
        <v xml:space="preserve">   Mali</v>
      </c>
      <c r="C1691">
        <v>500000</v>
      </c>
      <c r="D1691">
        <v>10000</v>
      </c>
    </row>
    <row r="1692" spans="1:4" x14ac:dyDescent="0.25">
      <c r="A1692" t="str">
        <f>T("   MR")</f>
        <v xml:space="preserve">   MR</v>
      </c>
      <c r="B1692" t="str">
        <f>T("   Mauritanie")</f>
        <v xml:space="preserve">   Mauritanie</v>
      </c>
      <c r="C1692">
        <v>500000</v>
      </c>
      <c r="D1692">
        <v>10000</v>
      </c>
    </row>
    <row r="1693" spans="1:4" x14ac:dyDescent="0.25">
      <c r="A1693" t="str">
        <f>T("   NL")</f>
        <v xml:space="preserve">   NL</v>
      </c>
      <c r="B1693" t="str">
        <f>T("   Pays-bas")</f>
        <v xml:space="preserve">   Pays-bas</v>
      </c>
      <c r="C1693">
        <v>1500000</v>
      </c>
      <c r="D1693">
        <v>1500</v>
      </c>
    </row>
    <row r="1694" spans="1:4" x14ac:dyDescent="0.25">
      <c r="A1694" t="str">
        <f>T("   SN")</f>
        <v xml:space="preserve">   SN</v>
      </c>
      <c r="B1694" t="str">
        <f>T("   Sénégal")</f>
        <v xml:space="preserve">   Sénégal</v>
      </c>
      <c r="C1694">
        <v>1000000</v>
      </c>
      <c r="D1694">
        <v>20000</v>
      </c>
    </row>
    <row r="1695" spans="1:4" x14ac:dyDescent="0.25">
      <c r="A1695" t="str">
        <f>T("   TZ")</f>
        <v xml:space="preserve">   TZ</v>
      </c>
      <c r="B1695" t="str">
        <f>T("   Tanzanie")</f>
        <v xml:space="preserve">   Tanzanie</v>
      </c>
      <c r="C1695">
        <v>1500000</v>
      </c>
      <c r="D1695">
        <v>1500</v>
      </c>
    </row>
    <row r="1696" spans="1:4" x14ac:dyDescent="0.25">
      <c r="A1696" t="str">
        <f>T("   US")</f>
        <v xml:space="preserve">   US</v>
      </c>
      <c r="B1696" t="str">
        <f>T("   Etats-Unis")</f>
        <v xml:space="preserve">   Etats-Unis</v>
      </c>
      <c r="C1696">
        <v>1500000</v>
      </c>
      <c r="D1696">
        <v>2000</v>
      </c>
    </row>
    <row r="1697" spans="1:4" x14ac:dyDescent="0.25">
      <c r="A1697" t="str">
        <f>T("940390")</f>
        <v>940390</v>
      </c>
      <c r="B1697" t="str">
        <f>T("PARTIES DE MEUBLES, N.D.A. (AUTRES QUE DE SIÈGES ET MOBILIER POUR LA MÉDECINE, L'ART DENTAIRE ET VÉTÉRINAIRE OU LA CHIRURGIE)")</f>
        <v>PARTIES DE MEUBLES, N.D.A. (AUTRES QUE DE SIÈGES ET MOBILIER POUR LA MÉDECINE, L'ART DENTAIRE ET VÉTÉRINAIRE OU LA CHIRURGIE)</v>
      </c>
    </row>
    <row r="1698" spans="1:4" x14ac:dyDescent="0.25">
      <c r="A1698" t="str">
        <f>T("   ZZZ_Monde")</f>
        <v xml:space="preserve">   ZZZ_Monde</v>
      </c>
      <c r="B1698" t="str">
        <f>T("   ZZZ_Monde")</f>
        <v xml:space="preserve">   ZZZ_Monde</v>
      </c>
      <c r="C1698">
        <v>29610827</v>
      </c>
      <c r="D1698">
        <v>6070</v>
      </c>
    </row>
    <row r="1699" spans="1:4" x14ac:dyDescent="0.25">
      <c r="A1699" t="str">
        <f>T("   CM")</f>
        <v xml:space="preserve">   CM</v>
      </c>
      <c r="B1699" t="str">
        <f>T("   Cameroun")</f>
        <v xml:space="preserve">   Cameroun</v>
      </c>
      <c r="C1699">
        <v>27045231</v>
      </c>
      <c r="D1699">
        <v>4500</v>
      </c>
    </row>
    <row r="1700" spans="1:4" x14ac:dyDescent="0.25">
      <c r="A1700" t="str">
        <f>T("   FR")</f>
        <v xml:space="preserve">   FR</v>
      </c>
      <c r="B1700" t="str">
        <f>T("   France")</f>
        <v xml:space="preserve">   France</v>
      </c>
      <c r="C1700">
        <v>2500000</v>
      </c>
      <c r="D1700">
        <v>1270</v>
      </c>
    </row>
    <row r="1701" spans="1:4" x14ac:dyDescent="0.25">
      <c r="A1701" t="str">
        <f>T("   LB")</f>
        <v xml:space="preserve">   LB</v>
      </c>
      <c r="B1701" t="str">
        <f>T("   Liban")</f>
        <v xml:space="preserve">   Liban</v>
      </c>
      <c r="C1701">
        <v>65596</v>
      </c>
      <c r="D1701">
        <v>300</v>
      </c>
    </row>
    <row r="1702" spans="1:4" x14ac:dyDescent="0.25">
      <c r="A1702" t="str">
        <f>T("940421")</f>
        <v>940421</v>
      </c>
      <c r="B1702" t="str">
        <f>T("Matelas en caoutchouc alvéolaire ou en matières plastiques alvéolaires")</f>
        <v>Matelas en caoutchouc alvéolaire ou en matières plastiques alvéolaires</v>
      </c>
    </row>
    <row r="1703" spans="1:4" x14ac:dyDescent="0.25">
      <c r="A1703" t="str">
        <f>T("   ZZZ_Monde")</f>
        <v xml:space="preserve">   ZZZ_Monde</v>
      </c>
      <c r="B1703" t="str">
        <f>T("   ZZZ_Monde")</f>
        <v xml:space="preserve">   ZZZ_Monde</v>
      </c>
      <c r="C1703">
        <v>4267650</v>
      </c>
      <c r="D1703">
        <v>1400</v>
      </c>
    </row>
    <row r="1704" spans="1:4" x14ac:dyDescent="0.25">
      <c r="A1704" t="str">
        <f>T("   TG")</f>
        <v xml:space="preserve">   TG</v>
      </c>
      <c r="B1704" t="str">
        <f>T("   Togo")</f>
        <v xml:space="preserve">   Togo</v>
      </c>
      <c r="C1704">
        <v>4267650</v>
      </c>
      <c r="D1704">
        <v>1400</v>
      </c>
    </row>
    <row r="1705" spans="1:4" x14ac:dyDescent="0.25">
      <c r="A1705" t="str">
        <f>T("940429")</f>
        <v>940429</v>
      </c>
      <c r="B1705"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706" spans="1:4" x14ac:dyDescent="0.25">
      <c r="A1706" t="str">
        <f>T("   ZZZ_Monde")</f>
        <v xml:space="preserve">   ZZZ_Monde</v>
      </c>
      <c r="B1706" t="str">
        <f>T("   ZZZ_Monde")</f>
        <v xml:space="preserve">   ZZZ_Monde</v>
      </c>
      <c r="C1706">
        <v>2500000</v>
      </c>
      <c r="D1706">
        <v>2905</v>
      </c>
    </row>
    <row r="1707" spans="1:4" x14ac:dyDescent="0.25">
      <c r="A1707" t="str">
        <f>T("   CA")</f>
        <v xml:space="preserve">   CA</v>
      </c>
      <c r="B1707" t="str">
        <f>T("   Canada")</f>
        <v xml:space="preserve">   Canada</v>
      </c>
      <c r="C1707">
        <v>2000000</v>
      </c>
      <c r="D1707">
        <v>1800</v>
      </c>
    </row>
    <row r="1708" spans="1:4" x14ac:dyDescent="0.25">
      <c r="A1708" t="str">
        <f>T("   GA")</f>
        <v xml:space="preserve">   GA</v>
      </c>
      <c r="B1708" t="str">
        <f>T("   Gabon")</f>
        <v xml:space="preserve">   Gabon</v>
      </c>
      <c r="C1708">
        <v>90000</v>
      </c>
      <c r="D1708">
        <v>1100</v>
      </c>
    </row>
    <row r="1709" spans="1:4" x14ac:dyDescent="0.25">
      <c r="A1709" t="str">
        <f>T("   GQ")</f>
        <v xml:space="preserve">   GQ</v>
      </c>
      <c r="B1709" t="str">
        <f>T("   Guinée Equatoriale")</f>
        <v xml:space="preserve">   Guinée Equatoriale</v>
      </c>
      <c r="C1709">
        <v>410000</v>
      </c>
      <c r="D1709">
        <v>5</v>
      </c>
    </row>
    <row r="1710" spans="1:4" x14ac:dyDescent="0.25">
      <c r="A1710" t="str">
        <f>T("940490")</f>
        <v>940490</v>
      </c>
      <c r="B1710"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711" spans="1:4" x14ac:dyDescent="0.25">
      <c r="A1711" t="str">
        <f>T("   ZZZ_Monde")</f>
        <v xml:space="preserve">   ZZZ_Monde</v>
      </c>
      <c r="B1711" t="str">
        <f>T("   ZZZ_Monde")</f>
        <v xml:space="preserve">   ZZZ_Monde</v>
      </c>
      <c r="C1711">
        <v>8760433</v>
      </c>
      <c r="D1711">
        <v>3275</v>
      </c>
    </row>
    <row r="1712" spans="1:4" x14ac:dyDescent="0.25">
      <c r="A1712" t="str">
        <f>T("   BF")</f>
        <v xml:space="preserve">   BF</v>
      </c>
      <c r="B1712" t="str">
        <f>T("   Burkina Faso")</f>
        <v xml:space="preserve">   Burkina Faso</v>
      </c>
      <c r="C1712">
        <v>8760433</v>
      </c>
      <c r="D1712">
        <v>3275</v>
      </c>
    </row>
    <row r="1713" spans="1:4" x14ac:dyDescent="0.25">
      <c r="A1713" t="str">
        <f>T("940540")</f>
        <v>940540</v>
      </c>
      <c r="B1713" t="str">
        <f>T("Appareils d'éclairage électrique, n.d.a.")</f>
        <v>Appareils d'éclairage électrique, n.d.a.</v>
      </c>
    </row>
    <row r="1714" spans="1:4" x14ac:dyDescent="0.25">
      <c r="A1714" t="str">
        <f>T("   ZZZ_Monde")</f>
        <v xml:space="preserve">   ZZZ_Monde</v>
      </c>
      <c r="B1714" t="str">
        <f>T("   ZZZ_Monde")</f>
        <v xml:space="preserve">   ZZZ_Monde</v>
      </c>
      <c r="C1714">
        <v>129737</v>
      </c>
      <c r="D1714">
        <v>25</v>
      </c>
    </row>
    <row r="1715" spans="1:4" x14ac:dyDescent="0.25">
      <c r="A1715" t="str">
        <f>T("   GB")</f>
        <v xml:space="preserve">   GB</v>
      </c>
      <c r="B1715" t="str">
        <f>T("   Royaume-Uni")</f>
        <v xml:space="preserve">   Royaume-Uni</v>
      </c>
      <c r="C1715">
        <v>129737</v>
      </c>
      <c r="D1715">
        <v>25</v>
      </c>
    </row>
    <row r="1716" spans="1:4" x14ac:dyDescent="0.25">
      <c r="A1716" t="str">
        <f>T("940591")</f>
        <v>940591</v>
      </c>
      <c r="B1716"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717" spans="1:4" x14ac:dyDescent="0.25">
      <c r="A1717" t="str">
        <f>T("   ZZZ_Monde")</f>
        <v xml:space="preserve">   ZZZ_Monde</v>
      </c>
      <c r="B1717" t="str">
        <f>T("   ZZZ_Monde")</f>
        <v xml:space="preserve">   ZZZ_Monde</v>
      </c>
      <c r="C1717">
        <v>419670</v>
      </c>
      <c r="D1717">
        <v>116</v>
      </c>
    </row>
    <row r="1718" spans="1:4" x14ac:dyDescent="0.25">
      <c r="A1718" t="str">
        <f>T("   NE")</f>
        <v xml:space="preserve">   NE</v>
      </c>
      <c r="B1718" t="str">
        <f>T("   Niger")</f>
        <v xml:space="preserve">   Niger</v>
      </c>
      <c r="C1718">
        <v>419670</v>
      </c>
      <c r="D1718">
        <v>116</v>
      </c>
    </row>
    <row r="1719" spans="1:4" x14ac:dyDescent="0.25">
      <c r="A1719" t="str">
        <f>T("940600")</f>
        <v>940600</v>
      </c>
      <c r="B1719" t="str">
        <f>T("Constructions préfabriquées, même incomplètes ou non encore montées")</f>
        <v>Constructions préfabriquées, même incomplètes ou non encore montées</v>
      </c>
    </row>
    <row r="1720" spans="1:4" x14ac:dyDescent="0.25">
      <c r="A1720" t="str">
        <f>T("   ZZZ_Monde")</f>
        <v xml:space="preserve">   ZZZ_Monde</v>
      </c>
      <c r="B1720" t="str">
        <f>T("   ZZZ_Monde")</f>
        <v xml:space="preserve">   ZZZ_Monde</v>
      </c>
      <c r="C1720">
        <v>186756</v>
      </c>
      <c r="D1720">
        <v>166</v>
      </c>
    </row>
    <row r="1721" spans="1:4" x14ac:dyDescent="0.25">
      <c r="A1721" t="str">
        <f>T("   CI")</f>
        <v xml:space="preserve">   CI</v>
      </c>
      <c r="B1721" t="str">
        <f>T("   Côte d'Ivoire")</f>
        <v xml:space="preserve">   Côte d'Ivoire</v>
      </c>
      <c r="C1721">
        <v>186756</v>
      </c>
      <c r="D1721">
        <v>166</v>
      </c>
    </row>
    <row r="1722" spans="1:4" x14ac:dyDescent="0.25">
      <c r="A1722" t="str">
        <f>T("950590")</f>
        <v>950590</v>
      </c>
      <c r="B1722" t="str">
        <f>T("Articles pour fêtes, carnaval ou autres divertissements, y.c. les articles de magie et articles-surprises, n.d.a.")</f>
        <v>Articles pour fêtes, carnaval ou autres divertissements, y.c. les articles de magie et articles-surprises, n.d.a.</v>
      </c>
    </row>
    <row r="1723" spans="1:4" x14ac:dyDescent="0.25">
      <c r="A1723" t="str">
        <f>T("   ZZZ_Monde")</f>
        <v xml:space="preserve">   ZZZ_Monde</v>
      </c>
      <c r="B1723" t="str">
        <f>T("   ZZZ_Monde")</f>
        <v xml:space="preserve">   ZZZ_Monde</v>
      </c>
      <c r="C1723">
        <v>30000</v>
      </c>
      <c r="D1723">
        <v>25</v>
      </c>
    </row>
    <row r="1724" spans="1:4" x14ac:dyDescent="0.25">
      <c r="A1724" t="str">
        <f>T("   GQ")</f>
        <v xml:space="preserve">   GQ</v>
      </c>
      <c r="B1724" t="str">
        <f>T("   Guinée Equatoriale")</f>
        <v xml:space="preserve">   Guinée Equatoriale</v>
      </c>
      <c r="C1724">
        <v>30000</v>
      </c>
      <c r="D1724">
        <v>25</v>
      </c>
    </row>
    <row r="1725" spans="1:4" x14ac:dyDescent="0.25">
      <c r="A1725" t="str">
        <f>T("960329")</f>
        <v>960329</v>
      </c>
      <c r="B1725" t="str">
        <f>T("Brosses et pinceaux à barbe, à cheveux, à cils ou à ongles et autres brosses pour la toilette des personnes, sauf brosses à dent")</f>
        <v>Brosses et pinceaux à barbe, à cheveux, à cils ou à ongles et autres brosses pour la toilette des personnes, sauf brosses à dent</v>
      </c>
    </row>
    <row r="1726" spans="1:4" x14ac:dyDescent="0.25">
      <c r="A1726" t="str">
        <f>T("   ZZZ_Monde")</f>
        <v xml:space="preserve">   ZZZ_Monde</v>
      </c>
      <c r="B1726" t="str">
        <f>T("   ZZZ_Monde")</f>
        <v xml:space="preserve">   ZZZ_Monde</v>
      </c>
      <c r="C1726">
        <v>150000</v>
      </c>
      <c r="D1726">
        <v>120</v>
      </c>
    </row>
    <row r="1727" spans="1:4" x14ac:dyDescent="0.25">
      <c r="A1727" t="str">
        <f>T("   TG")</f>
        <v xml:space="preserve">   TG</v>
      </c>
      <c r="B1727" t="str">
        <f>T("   Togo")</f>
        <v xml:space="preserve">   Togo</v>
      </c>
      <c r="C1727">
        <v>150000</v>
      </c>
      <c r="D1727">
        <v>120</v>
      </c>
    </row>
    <row r="1728" spans="1:4" x14ac:dyDescent="0.25">
      <c r="A1728" t="str">
        <f>T("970110")</f>
        <v>970110</v>
      </c>
      <c r="B1728"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729" spans="1:4" x14ac:dyDescent="0.25">
      <c r="A1729" t="str">
        <f>T("   ZZZ_Monde")</f>
        <v xml:space="preserve">   ZZZ_Monde</v>
      </c>
      <c r="B1729" t="str">
        <f>T("   ZZZ_Monde")</f>
        <v xml:space="preserve">   ZZZ_Monde</v>
      </c>
      <c r="C1729">
        <v>500000</v>
      </c>
      <c r="D1729">
        <v>175</v>
      </c>
    </row>
    <row r="1730" spans="1:4" x14ac:dyDescent="0.25">
      <c r="A1730" t="str">
        <f>T("   TG")</f>
        <v xml:space="preserve">   TG</v>
      </c>
      <c r="B1730" t="str">
        <f>T("   Togo")</f>
        <v xml:space="preserve">   Togo</v>
      </c>
      <c r="C1730">
        <v>500000</v>
      </c>
      <c r="D1730">
        <v>175</v>
      </c>
    </row>
    <row r="1731" spans="1:4" x14ac:dyDescent="0.25">
      <c r="A1731" t="str">
        <f>T("970300")</f>
        <v>970300</v>
      </c>
      <c r="B1731" t="str">
        <f>T("Productions originales de l'art statuaire ou de la sculpture, en toutes matières")</f>
        <v>Productions originales de l'art statuaire ou de la sculpture, en toutes matières</v>
      </c>
    </row>
    <row r="1732" spans="1:4" x14ac:dyDescent="0.25">
      <c r="A1732" t="str">
        <f>T("   ZZZ_Monde")</f>
        <v xml:space="preserve">   ZZZ_Monde</v>
      </c>
      <c r="B1732" t="str">
        <f>T("   ZZZ_Monde")</f>
        <v xml:space="preserve">   ZZZ_Monde</v>
      </c>
      <c r="C1732">
        <v>6552261</v>
      </c>
      <c r="D1732">
        <v>446</v>
      </c>
    </row>
    <row r="1733" spans="1:4" x14ac:dyDescent="0.25">
      <c r="A1733" t="str">
        <f>T("   CH")</f>
        <v xml:space="preserve">   CH</v>
      </c>
      <c r="B1733" t="str">
        <f>T("   Suisse")</f>
        <v xml:space="preserve">   Suisse</v>
      </c>
      <c r="C1733">
        <v>1958041</v>
      </c>
      <c r="D1733">
        <v>113</v>
      </c>
    </row>
    <row r="1734" spans="1:4" x14ac:dyDescent="0.25">
      <c r="A1734" t="str">
        <f>T("   FR")</f>
        <v xml:space="preserve">   FR</v>
      </c>
      <c r="B1734" t="str">
        <f>T("   France")</f>
        <v xml:space="preserve">   France</v>
      </c>
      <c r="C1734">
        <v>2600000</v>
      </c>
      <c r="D1734">
        <v>150</v>
      </c>
    </row>
    <row r="1735" spans="1:4" x14ac:dyDescent="0.25">
      <c r="A1735" t="str">
        <f>T("   GH")</f>
        <v xml:space="preserve">   GH</v>
      </c>
      <c r="B1735" t="str">
        <f>T("   Ghana")</f>
        <v xml:space="preserve">   Ghana</v>
      </c>
      <c r="C1735">
        <v>327980</v>
      </c>
      <c r="D1735">
        <v>23</v>
      </c>
    </row>
    <row r="1736" spans="1:4" x14ac:dyDescent="0.25">
      <c r="A1736" t="str">
        <f>T("   IT")</f>
        <v xml:space="preserve">   IT</v>
      </c>
      <c r="B1736" t="str">
        <f>T("   Italie")</f>
        <v xml:space="preserve">   Italie</v>
      </c>
      <c r="C1736">
        <v>1666240</v>
      </c>
      <c r="D1736">
        <v>160</v>
      </c>
    </row>
    <row r="1737" spans="1:4" x14ac:dyDescent="0.25">
      <c r="A1737" t="str">
        <f>T("970500")</f>
        <v>970500</v>
      </c>
      <c r="B1737" t="str">
        <f>T("Collections et spécimens pour collections de zoologie, de botanique, de minéralogie, d'anatomie, ou présentant un intérêt historique, archéologique, paléontologique, ethnographique ou numismatique")</f>
        <v>Collections et spécimens pour collections de zoologie, de botanique, de minéralogie, d'anatomie, ou présentant un intérêt historique, archéologique, paléontologique, ethnographique ou numismatique</v>
      </c>
    </row>
    <row r="1738" spans="1:4" x14ac:dyDescent="0.25">
      <c r="A1738" t="str">
        <f>T("   ZZZ_Monde")</f>
        <v xml:space="preserve">   ZZZ_Monde</v>
      </c>
      <c r="B1738" t="str">
        <f>T("   ZZZ_Monde")</f>
        <v xml:space="preserve">   ZZZ_Monde</v>
      </c>
      <c r="C1738">
        <v>450000</v>
      </c>
      <c r="D1738">
        <v>80</v>
      </c>
    </row>
    <row r="1739" spans="1:4" x14ac:dyDescent="0.25">
      <c r="A1739" t="str">
        <f>T("   FR")</f>
        <v xml:space="preserve">   FR</v>
      </c>
      <c r="B1739" t="str">
        <f>T("   France")</f>
        <v xml:space="preserve">   France</v>
      </c>
      <c r="C1739">
        <v>450000</v>
      </c>
      <c r="D1739">
        <v>80</v>
      </c>
    </row>
    <row r="1740" spans="1:4" s="1" customFormat="1" x14ac:dyDescent="0.25">
      <c r="A1740" s="1" t="str">
        <f>T("   ZZZ_Monde")</f>
        <v xml:space="preserve">   ZZZ_Monde</v>
      </c>
      <c r="B1740" s="1" t="str">
        <f>T("   ZZZ_Monde")</f>
        <v xml:space="preserve">   ZZZ_Monde</v>
      </c>
      <c r="C1740" s="1">
        <v>189281501840</v>
      </c>
      <c r="D1740" s="1">
        <v>766867329.38</v>
      </c>
    </row>
    <row r="1742" spans="1:4" x14ac:dyDescent="0.25">
      <c r="A1742" t="s">
        <v>29</v>
      </c>
    </row>
  </sheetData>
  <pageMargins left="0.7" right="0.7" top="0.75" bottom="0.75" header="0.3" footer="0.3"/>
</worksheet>
</file>